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C:\Users\Public\Environmental\Conflict Materials Certs\"/>
    </mc:Choice>
  </mc:AlternateContent>
  <xr:revisionPtr revIDLastSave="0" documentId="13_ncr:1_{639B83E5-C2DE-40A1-8489-F4B1BF08CC8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V16" i="5"/>
  <c r="J16" i="5"/>
  <c r="E16" i="5"/>
  <c r="S16" i="5"/>
  <c r="T16" i="5"/>
  <c r="B17" i="5"/>
  <c r="C17" i="5"/>
  <c r="V17" i="5"/>
  <c r="J17" i="5"/>
  <c r="E17" i="5"/>
  <c r="S17" i="5"/>
  <c r="T17" i="5"/>
  <c r="B18" i="5"/>
  <c r="C18" i="5"/>
  <c r="V18" i="5"/>
  <c r="J18" i="5"/>
  <c r="E18" i="5"/>
  <c r="S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H6"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X5"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F5"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3" i="5"/>
  <c r="AB16" i="5"/>
  <c r="AB15" i="5"/>
  <c r="AB8" i="5"/>
  <c r="AB14"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I15" i="5"/>
  <c r="H15" i="5"/>
  <c r="F15" i="5"/>
  <c r="I10" i="5"/>
  <c r="F10" i="5"/>
  <c r="R10" i="5"/>
  <c r="H10" i="5"/>
  <c r="H7" i="5"/>
  <c r="R7" i="5"/>
  <c r="F7" i="5"/>
  <c r="I7" i="5"/>
  <c r="H16" i="5"/>
  <c r="I16" i="5"/>
  <c r="R16" i="5"/>
  <c r="F16" i="5"/>
  <c r="G66" i="6"/>
  <c r="H66" i="6"/>
  <c r="C66" i="6"/>
  <c r="G67" i="6"/>
  <c r="H67" i="6"/>
  <c r="D67" i="6"/>
  <c r="G65" i="6"/>
  <c r="H65" i="6"/>
  <c r="C65" i="6"/>
  <c r="I12" i="5"/>
  <c r="R12" i="5"/>
  <c r="F12" i="5"/>
  <c r="H12" i="5"/>
  <c r="H9" i="5"/>
  <c r="I9" i="5"/>
  <c r="R9" i="5"/>
  <c r="F9" i="5"/>
  <c r="R8" i="5"/>
  <c r="H8" i="5"/>
  <c r="I8" i="5"/>
  <c r="F8" i="5"/>
  <c r="H14" i="5"/>
  <c r="I14" i="5"/>
  <c r="F14" i="5"/>
  <c r="R14" i="5"/>
  <c r="H11" i="5"/>
  <c r="R11" i="5"/>
  <c r="F11" i="5"/>
  <c r="I11" i="5"/>
  <c r="I13" i="5"/>
  <c r="R13" i="5"/>
  <c r="H13" i="5"/>
  <c r="F13" i="5"/>
  <c r="C49" i="6"/>
  <c r="C47" i="6"/>
  <c r="C60" i="6"/>
  <c r="D60" i="6"/>
  <c r="D58" i="6"/>
  <c r="C58" i="6"/>
  <c r="D63" i="6"/>
  <c r="C63" i="6"/>
  <c r="C62" i="6"/>
  <c r="D62" i="6"/>
  <c r="C54" i="6"/>
  <c r="D54" i="6"/>
  <c r="D57" i="6"/>
  <c r="C57" i="6"/>
  <c r="F56" i="6"/>
  <c r="H56" i="6"/>
  <c r="H55" i="6"/>
  <c r="D59" i="6"/>
  <c r="C59" i="6"/>
  <c r="C68" i="6"/>
  <c r="X10" i="5"/>
  <c r="D65" i="6"/>
  <c r="X9" i="5"/>
  <c r="X12" i="5"/>
  <c r="X13" i="5"/>
  <c r="X16" i="5"/>
  <c r="D66" i="6"/>
  <c r="C67" i="6"/>
  <c r="X11" i="5"/>
  <c r="X14" i="5"/>
  <c r="X8" i="5"/>
  <c r="X7" i="5"/>
  <c r="H69" i="6"/>
  <c r="H70" i="6"/>
  <c r="D2" i="6"/>
  <c r="X15"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<sst xmlns="http://schemas.openxmlformats.org/spreadsheetml/2006/main" count="22344" uniqueCount="15805">
  <si>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</si>
  <si>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</si>
  <si>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</si>
  <si>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</si>
  <si>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</si>
  <si>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</si>
  <si>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</si>
  <si>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</si>
  <si>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</si>
  <si>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</si>
  <si>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</si>
  <si>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</si>
  <si>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</si>
  <si>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</si>
  <si>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</si>
  <si>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</si>
  <si>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</si>
  <si>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</si>
  <si>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</si>
  <si>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</si>
  <si>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</si>
  <si>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</si>
  <si>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</si>
  <si>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</si>
  <si>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</si>
  <si>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</si>
  <si>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</si>
  <si>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</si>
  <si>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</si>
  <si>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</si>
  <si>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</si>
  <si>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</si>
  <si>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</si>
  <si>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</si>
  <si>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</si>
  <si>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</si>
  <si>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</si>
  <si>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</si>
  <si>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</si>
  <si>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</si>
  <si>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</si>
  <si>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</si>
  <si>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</si>
  <si>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</si>
  <si>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</si>
  <si>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</si>
  <si>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</si>
  <si>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</si>
  <si>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</si>
  <si>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</si>
  <si>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</si>
  <si>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</si>
  <si>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</si>
  <si>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</si>
  <si>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</si>
  <si>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</si>
  <si>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</si>
  <si>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</si>
  <si>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</si>
  <si>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</si>
  <si>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</si>
  <si>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</si>
  <si>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</si>
  <si>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</si>
  <si>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</si>
  <si>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</si>
  <si>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</si>
  <si>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</si>
  <si>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</si>
  <si>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</si>
  <si>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</si>
  <si>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</si>
  <si>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</si>
  <si>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</si>
  <si>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</si>
  <si>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</si>
  <si>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</si>
  <si>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</si>
  <si>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</si>
  <si>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</si>
  <si>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</si>
  <si>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</si>
  <si>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</si>
  <si>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</si>
  <si>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</si>
  <si>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</si>
  <si>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</si>
  <si>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</si>
  <si>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</si>
  <si>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</si>
  <si>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</si>
  <si>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</si>
  <si>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</si>
  <si>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</si>
  <si>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</si>
  <si>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</si>
  <si>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</si>
  <si>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</si>
  <si>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</si>
  <si>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</si>
  <si>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</si>
  <si>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</si>
  <si>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</si>
  <si>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</si>
  <si>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</si>
  <si>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</si>
  <si>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</si>
  <si>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</si>
  <si>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</si>
  <si>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</si>
  <si>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</si>
  <si>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</si>
  <si>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</si>
  <si>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</si>
  <si>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</si>
  <si>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</si>
  <si>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</si>
  <si>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</si>
  <si>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</si>
  <si>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</si>
  <si>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</si>
  <si>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</si>
  <si>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</si>
  <si>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</si>
  <si>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</si>
  <si>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</si>
  <si>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</si>
  <si>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</si>
  <si>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</si>
  <si>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</si>
  <si>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</si>
  <si>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</si>
  <si>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</si>
  <si>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</si>
  <si>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</si>
  <si>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</si>
  <si>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</si>
  <si>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</si>
  <si>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</si>
  <si>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</si>
  <si>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</si>
  <si>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</si>
  <si>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</si>
  <si>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</si>
  <si>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</si>
  <si>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</si>
  <si>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</si>
  <si>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</si>
  <si>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</si>
  <si>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</si>
  <si>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</si>
  <si>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</si>
  <si>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</si>
  <si>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</si>
  <si>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</si>
  <si>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</si>
  <si>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</si>
  <si>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</si>
  <si>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</si>
  <si>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</si>
  <si>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</si>
  <si>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</si>
  <si>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</si>
  <si>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</si>
  <si>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</si>
  <si>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</si>
  <si>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</si>
  <si>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</si>
  <si>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</si>
  <si>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</si>
  <si>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</si>
  <si>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</si>
  <si>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</si>
  <si>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</si>
  <si>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</si>
  <si>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</si>
  <si>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</si>
  <si>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</si>
  <si>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</si>
  <si>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</si>
  <si>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</si>
  <si>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</si>
  <si>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</si>
  <si>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</si>
  <si>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</si>
  <si>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</si>
  <si>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</si>
  <si>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</si>
  <si>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</si>
  <si>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</si>
  <si>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</si>
  <si>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</si>
  <si>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</si>
  <si>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</si>
  <si>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</si>
  <si>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</si>
  <si>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</si>
  <si>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</si>
  <si>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</si>
  <si>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</si>
  <si>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</si>
  <si>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</si>
  <si>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</si>
  <si>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</si>
  <si>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</si>
  <si>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</si>
  <si>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</si>
  <si>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</si>
  <si>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</si>
  <si>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</si>
  <si>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</si>
  <si>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</si>
  <si>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</si>
  <si>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</si>
  <si>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</si>
  <si>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</si>
  <si>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</si>
  <si>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</si>
  <si>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</si>
  <si>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</si>
  <si>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</si>
  <si>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</si>
  <si>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</si>
  <si>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</si>
  <si>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</si>
  <si>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</si>
  <si>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</si>
  <si>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</si>
  <si>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</si>
  <si>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</si>
  <si>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</si>
  <si>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</si>
  <si>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</si>
  <si>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</si>
  <si>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</si>
  <si>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</si>
  <si>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</si>
  <si>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</si>
  <si>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</si>
  <si>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</si>
  <si>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</si>
  <si>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</si>
  <si>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</si>
  <si>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</si>
  <si>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</si>
  <si>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</si>
  <si>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</si>
  <si>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</si>
  <si>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</si>
  <si>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</si>
  <si>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</si>
  <si>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</si>
  <si>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</si>
  <si>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</si>
  <si>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</si>
  <si>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</si>
  <si>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</si>
  <si>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</si>
  <si>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</si>
  <si>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</si>
  <si>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</si>
  <si>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</si>
  <si>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</si>
  <si>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</si>
  <si>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</si>
  <si>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</si>
  <si>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</si>
  <si>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</si>
  <si>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</si>
  <si>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</si>
  <si>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</si>
  <si>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</si>
  <si>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</si>
  <si>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</si>
  <si>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</si>
  <si>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</si>
  <si>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</si>
  <si>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</si>
  <si>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</si>
  <si>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</si>
  <si>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</si>
  <si>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</si>
  <si>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</si>
  <si>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</si>
  <si>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</si>
  <si>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</si>
  <si>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</si>
  <si>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</si>
  <si>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</si>
  <si>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</si>
  <si>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</si>
  <si>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</si>
  <si>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</si>
  <si>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</si>
  <si>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</si>
  <si>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</si>
  <si>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</si>
  <si>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</si>
  <si>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</si>
  <si>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</si>
  <si>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</si>
  <si>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</si>
  <si>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</si>
  <si>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</si>
  <si>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</si>
  <si>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</si>
  <si>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</si>
  <si>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</si>
  <si>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</si>
  <si>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</si>
  <si>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</si>
  <si>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</si>
  <si>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</si>
  <si>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</si>
  <si>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</si>
  <si>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</si>
  <si>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</si>
  <si>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</si>
  <si>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</si>
  <si>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</si>
  <si>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</si>
  <si>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</si>
  <si>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</si>
  <si>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</si>
  <si>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</si>
  <si>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</si>
  <si>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</si>
  <si>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</si>
  <si>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</si>
  <si>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</si>
  <si>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</si>
  <si>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</si>
  <si>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</si>
  <si>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</si>
  <si>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</si>
  <si>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</si>
  <si>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</si>
  <si>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</si>
  <si>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</si>
  <si>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</si>
  <si>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</si>
  <si>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</si>
  <si>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</si>
  <si>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</si>
  <si>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</si>
  <si>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</si>
  <si>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</si>
  <si>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</si>
  <si>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</si>
  <si>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</si>
  <si>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</si>
  <si>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</si>
  <si>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</si>
  <si>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</si>
  <si>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</si>
  <si>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</si>
  <si>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</si>
  <si>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</si>
  <si>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</si>
  <si>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</si>
  <si>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</si>
  <si>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</si>
  <si>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</si>
  <si>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</si>
  <si>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</si>
  <si>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</si>
  <si>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</si>
  <si>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</si>
  <si>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</si>
  <si>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</si>
  <si>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</si>
  <si>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</si>
  <si>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</si>
  <si>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</si>
  <si>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</si>
  <si>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</si>
  <si>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</si>
  <si>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</si>
  <si>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</si>
  <si>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</si>
  <si>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</si>
  <si>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</si>
  <si>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</si>
  <si>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</si>
  <si>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</si>
  <si>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</si>
  <si>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</si>
  <si>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</si>
  <si>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</si>
  <si>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</si>
  <si>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</si>
  <si>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</si>
  <si>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</si>
  <si>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</si>
  <si>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</si>
  <si>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</si>
  <si>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</si>
  <si>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</si>
  <si>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</si>
  <si>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</si>
  <si>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</si>
  <si>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</si>
  <si>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</si>
  <si>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</si>
  <si>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</si>
  <si>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</si>
  <si>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</si>
  <si>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</si>
  <si>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</si>
  <si>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</si>
  <si>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</si>
  <si>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</si>
  <si>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</si>
  <si>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</si>
  <si>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</si>
  <si>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</si>
  <si>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</si>
  <si>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</si>
  <si>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</si>
  <si>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</si>
  <si>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</si>
  <si>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</si>
  <si>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</si>
  <si>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</si>
  <si>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</si>
  <si>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</si>
  <si>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</si>
  <si>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</si>
  <si>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</si>
  <si>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</si>
  <si>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</si>
  <si>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</si>
  <si>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</si>
  <si>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</si>
  <si>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</si>
  <si>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</si>
  <si>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</si>
  <si>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</si>
  <si>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</si>
  <si>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</si>
  <si>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</si>
  <si>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</si>
  <si>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</si>
  <si>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</si>
  <si>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</si>
  <si>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</si>
  <si>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</si>
  <si>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</si>
  <si>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</si>
  <si>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</si>
  <si>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</si>
  <si>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</si>
  <si>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</si>
  <si>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</si>
  <si>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</si>
  <si>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</si>
  <si>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</si>
  <si>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</si>
  <si>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</si>
  <si>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</si>
  <si>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</si>
  <si>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</si>
  <si>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</si>
  <si>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</si>
  <si>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</si>
  <si>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</si>
  <si>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</si>
  <si>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</si>
  <si>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</si>
  <si>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</si>
  <si>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</si>
  <si>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</si>
  <si>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</si>
  <si>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</si>
  <si>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</si>
  <si>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</si>
  <si>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</si>
  <si>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</si>
  <si>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</si>
  <si>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</si>
  <si>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</si>
  <si>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</si>
  <si>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</si>
  <si>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</si>
  <si>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</si>
  <si>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</si>
  <si>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</si>
  <si>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</si>
  <si>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</si>
  <si>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</si>
  <si>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</si>
  <si>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</si>
  <si>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</si>
  <si>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</si>
  <si>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</si>
  <si>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</si>
  <si>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</si>
  <si>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</si>
  <si>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</si>
  <si>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</si>
  <si>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</si>
  <si>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</si>
  <si>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</si>
  <si>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</si>
  <si>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</si>
  <si>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</si>
  <si>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</si>
  <si>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</si>
  <si>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</si>
  <si>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</si>
  <si>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</si>
  <si>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</si>
  <si>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</si>
  <si>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</si>
  <si>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</si>
  <si>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</si>
  <si>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</si>
  <si>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</si>
  <si>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</si>
  <si>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</si>
  <si>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</si>
  <si>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</si>
  <si>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</si>
  <si>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</si>
  <si>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</si>
  <si>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</si>
  <si>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</si>
  <si>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</si>
  <si>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</si>
  <si>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</si>
  <si>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</si>
  <si>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</si>
  <si>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</si>
  <si>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</si>
  <si>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</si>
  <si>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</si>
  <si>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</si>
  <si>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</si>
  <si>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</si>
  <si>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</si>
  <si>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</si>
  <si>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</si>
  <si>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</si>
  <si>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</si>
  <si>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</si>
  <si>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</si>
  <si>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</si>
  <si>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</si>
  <si>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</si>
  <si>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</si>
  <si>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</si>
  <si>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</si>
  <si>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</si>
  <si>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</si>
  <si>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</si>
  <si>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</si>
  <si>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</si>
  <si>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</si>
  <si>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</si>
  <si>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</si>
  <si>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</si>
  <si>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</si>
  <si>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</si>
  <si>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</si>
  <si>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</si>
  <si>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</si>
  <si>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</si>
  <si>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</si>
  <si>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</si>
  <si>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</si>
  <si>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</si>
  <si>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</si>
  <si>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</si>
  <si>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</si>
  <si>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</si>
  <si>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</si>
  <si>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</si>
  <si>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</si>
  <si>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</si>
  <si>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</si>
  <si>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</si>
  <si>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</si>
  <si>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</si>
  <si>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</si>
  <si>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</si>
  <si>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</si>
  <si>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</si>
  <si>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</si>
  <si>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</si>
  <si>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</si>
  <si>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</si>
  <si>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</si>
  <si>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</si>
  <si>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</si>
  <si>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</si>
  <si>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</si>
  <si>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</si>
  <si>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</si>
  <si>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</si>
  <si>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</si>
  <si>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</si>
  <si>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</si>
  <si>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</si>
  <si>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</si>
  <si>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</si>
  <si>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</si>
  <si>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</si>
  <si>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</si>
  <si>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</si>
  <si>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</si>
  <si>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</si>
  <si>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</si>
  <si>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</si>
  <si>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</si>
  <si>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</si>
  <si>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</si>
  <si>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</si>
  <si>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</si>
  <si>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</si>
  <si>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</si>
  <si>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</si>
  <si>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</si>
  <si>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</si>
  <si>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</si>
  <si>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</si>
  <si>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</si>
  <si>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</si>
  <si>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</si>
  <si>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</si>
  <si>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</si>
  <si>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</si>
  <si>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</si>
  <si>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</si>
  <si>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</si>
  <si>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</si>
  <si>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</si>
  <si>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</si>
  <si>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</si>
  <si>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</si>
  <si>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</si>
  <si>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</si>
  <si>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</si>
  <si>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</si>
  <si>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</si>
  <si>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</si>
  <si>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</si>
  <si>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</si>
  <si>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</si>
  <si>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</si>
  <si>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</si>
  <si>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</si>
  <si>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</si>
  <si>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</si>
  <si>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</si>
  <si>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</si>
  <si>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</si>
  <si>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</si>
  <si>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</si>
  <si>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</si>
  <si>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</si>
  <si>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</si>
  <si>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</si>
  <si>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</si>
  <si>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</si>
  <si>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</si>
  <si>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</si>
  <si>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</si>
  <si>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</si>
  <si>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</si>
  <si>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</si>
  <si>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</si>
  <si>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</si>
  <si>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</si>
  <si>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</si>
  <si>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</si>
  <si>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</si>
  <si>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</si>
  <si>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</si>
  <si>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</si>
  <si>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</si>
  <si>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</si>
  <si>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</si>
  <si>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</si>
  <si>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</si>
  <si>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</si>
  <si>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</si>
  <si>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</si>
  <si>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</si>
  <si>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</si>
  <si>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</si>
  <si>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</si>
  <si>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</si>
  <si>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</si>
  <si>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</si>
  <si>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</si>
  <si>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</si>
  <si>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</si>
  <si>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</si>
  <si>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</si>
  <si>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</si>
  <si>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</si>
  <si>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</si>
  <si>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</si>
  <si>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</si>
  <si>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</si>
  <si>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</si>
  <si>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</si>
  <si>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</si>
  <si>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</si>
  <si>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</si>
  <si>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</si>
  <si>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</si>
  <si>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</si>
  <si>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</si>
  <si>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</si>
  <si>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</si>
  <si>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</si>
  <si>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</si>
  <si>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</si>
  <si>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</si>
  <si>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</si>
  <si>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</si>
  <si>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</si>
  <si>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</si>
  <si>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</si>
  <si>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</si>
  <si>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</si>
  <si>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</si>
  <si>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</si>
  <si>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</si>
  <si>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</si>
  <si>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</si>
  <si>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</si>
  <si>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</si>
  <si>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</si>
  <si>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</si>
  <si>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</si>
  <si>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</si>
  <si>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</si>
  <si>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</si>
  <si>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</si>
  <si>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</si>
  <si>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</si>
  <si>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</si>
  <si>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</si>
  <si>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</si>
  <si>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</si>
  <si>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</si>
  <si>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</si>
  <si>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</si>
  <si>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</si>
  <si>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</si>
  <si>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</si>
  <si>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</si>
  <si>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</si>
  <si>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</si>
  <si>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</si>
  <si>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</si>
  <si>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</si>
  <si>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</si>
  <si>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</si>
  <si>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</si>
  <si>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</si>
  <si>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</si>
  <si>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</si>
  <si>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</si>
  <si>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</si>
  <si>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</si>
  <si>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</si>
  <si>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</si>
  <si>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</si>
  <si>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</si>
  <si>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</si>
  <si>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</si>
  <si>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</si>
  <si>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</si>
  <si>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</si>
  <si>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</si>
  <si>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</si>
  <si>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</si>
  <si>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</si>
  <si>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</si>
  <si>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</si>
  <si>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</si>
  <si>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</si>
  <si>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</si>
  <si>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</si>
  <si>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</si>
  <si>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</si>
  <si>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</si>
  <si>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</si>
  <si>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</si>
  <si>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</si>
  <si>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</si>
  <si>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</si>
  <si>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</si>
  <si>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</si>
  <si>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</si>
  <si>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</si>
  <si>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</si>
  <si>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</si>
  <si>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</si>
  <si>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</si>
  <si>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</si>
  <si>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</si>
  <si>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</si>
  <si>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</si>
  <si>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</si>
  <si>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</si>
  <si>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</si>
  <si>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</si>
  <si>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</si>
  <si>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</si>
  <si>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</si>
  <si>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</si>
  <si>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</si>
  <si>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</si>
  <si>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</si>
  <si>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</si>
  <si>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</si>
  <si>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</si>
  <si>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</si>
  <si>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</si>
  <si>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</si>
  <si>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</si>
  <si>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</si>
  <si>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</si>
  <si>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</si>
  <si>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</si>
  <si>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</si>
  <si>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</si>
  <si>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</si>
  <si>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</si>
  <si>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</si>
  <si>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</si>
  <si>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</si>
  <si>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</si>
  <si>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</si>
  <si>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</si>
  <si>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</si>
  <si>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</si>
  <si>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</si>
  <si>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</si>
  <si>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</si>
  <si>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</si>
  <si>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</si>
  <si>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</si>
  <si>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</si>
  <si>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</si>
  <si>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</si>
  <si>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</si>
  <si>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</si>
  <si>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</si>
  <si>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</si>
  <si>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</si>
  <si>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</si>
  <si>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</si>
  <si>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</si>
  <si>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</si>
  <si>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</si>
  <si>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</si>
  <si>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</si>
  <si>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</si>
  <si>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</si>
  <si>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</si>
  <si>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</si>
  <si>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</si>
  <si>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</si>
  <si>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</si>
  <si>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</si>
  <si>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</si>
  <si>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</si>
  <si>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</si>
  <si>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</si>
  <si>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</si>
  <si>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</si>
  <si>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</si>
  <si>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</si>
  <si>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</si>
  <si>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</si>
  <si>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</si>
  <si>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</si>
  <si>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</si>
  <si>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</si>
  <si>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</si>
  <si>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</si>
  <si>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</si>
  <si>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</si>
  <si>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</si>
  <si>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</si>
  <si>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</si>
  <si>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</si>
  <si>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</si>
  <si>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</si>
  <si>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</si>
  <si>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</si>
  <si>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</si>
  <si>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</si>
  <si>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</si>
  <si>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</si>
  <si>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</si>
  <si>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</si>
  <si>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</si>
  <si>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</si>
  <si>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</si>
  <si>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</si>
  <si>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</si>
  <si>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</si>
  <si>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</si>
  <si>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</si>
  <si>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</si>
  <si>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</si>
  <si>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</si>
  <si>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</si>
  <si>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</si>
  <si>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</si>
  <si>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</si>
  <si>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</si>
  <si>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</si>
  <si>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</si>
  <si>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</si>
  <si>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</si>
  <si>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</si>
  <si>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</si>
  <si>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</si>
  <si>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</si>
  <si>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</si>
  <si>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</si>
  <si>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</si>
  <si>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</si>
  <si>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</si>
  <si>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</si>
  <si>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</si>
  <si>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</si>
  <si>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</si>
  <si>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</si>
  <si>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</si>
  <si>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</si>
  <si>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</si>
  <si>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</si>
  <si>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</si>
  <si>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</si>
  <si>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</si>
  <si>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</si>
  <si>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</si>
  <si>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</si>
  <si>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</si>
  <si>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</si>
  <si>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</si>
  <si>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</si>
  <si>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</si>
  <si>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</si>
  <si>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</si>
  <si>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</si>
  <si>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</si>
  <si>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</si>
  <si>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</si>
  <si>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</si>
  <si>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</si>
  <si>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</si>
  <si>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</si>
  <si>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</si>
  <si>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</si>
  <si>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</si>
  <si>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</si>
  <si>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</si>
  <si>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</si>
  <si>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</si>
  <si>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</si>
  <si>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</si>
  <si>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</si>
  <si>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</si>
  <si>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</si>
  <si>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</si>
  <si>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</si>
  <si>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</si>
  <si>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</si>
  <si>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</si>
  <si>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</si>
  <si>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</si>
  <si>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</si>
  <si>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</si>
  <si>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</si>
  <si>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</si>
  <si>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</si>
  <si>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</si>
  <si>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</si>
  <si>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</si>
  <si>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</si>
  <si>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</si>
  <si>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</si>
  <si>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</si>
  <si>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</si>
  <si>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</si>
  <si>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</si>
  <si>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</si>
  <si>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</si>
  <si>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</si>
  <si>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</si>
  <si>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</si>
  <si>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</si>
  <si>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</si>
  <si>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</si>
  <si>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</si>
  <si>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</si>
  <si>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</si>
  <si>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</si>
  <si>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</si>
  <si>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</si>
  <si>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</si>
  <si>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</si>
  <si>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</si>
  <si>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</si>
  <si>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</si>
  <si>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</si>
  <si>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</si>
  <si>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</si>
  <si>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</si>
  <si>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</si>
  <si>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</si>
  <si>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</si>
  <si>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</si>
  <si>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</si>
  <si>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</si>
  <si>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</si>
  <si>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</si>
  <si>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</si>
  <si>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</si>
  <si>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</si>
  <si>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</si>
  <si>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</si>
  <si>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</si>
  <si>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</si>
  <si>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</si>
  <si>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</si>
  <si>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</si>
  <si>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</si>
  <si>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</si>
  <si>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</si>
  <si>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</si>
  <si>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</si>
  <si>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</si>
  <si>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</si>
  <si>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</si>
  <si>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</si>
  <si>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</si>
  <si>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</si>
  <si>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</si>
  <si>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</si>
  <si>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</si>
  <si>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</si>
  <si>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</si>
  <si>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</si>
  <si>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</si>
  <si>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</si>
  <si>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</si>
  <si>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</si>
  <si>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</si>
  <si>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</si>
  <si>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</si>
  <si>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</si>
  <si>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</si>
  <si>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</si>
  <si>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</si>
  <si>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</si>
  <si>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</si>
  <si>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</si>
  <si>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</si>
  <si>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</si>
  <si>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</si>
  <si>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</si>
  <si>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</si>
  <si>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</si>
  <si>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</si>
  <si>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</si>
  <si>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</si>
  <si>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</si>
  <si>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</si>
  <si>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</si>
  <si>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</si>
  <si>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</si>
  <si>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</si>
  <si>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</si>
  <si>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</si>
  <si>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</si>
  <si>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</si>
  <si>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</si>
  <si>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</si>
  <si>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</si>
  <si>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</si>
  <si>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</si>
  <si>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</si>
  <si>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</si>
  <si>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</si>
  <si>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</si>
  <si>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</si>
  <si>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</si>
  <si>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</si>
  <si>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</si>
  <si>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</si>
  <si>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</si>
  <si>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</si>
  <si>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</si>
  <si>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</si>
  <si>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</si>
  <si>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</si>
  <si>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</si>
  <si>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</si>
  <si>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</si>
  <si>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</si>
  <si>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</si>
  <si>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</si>
  <si>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</si>
  <si>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</si>
  <si>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</si>
  <si>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</si>
  <si>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</si>
  <si>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</si>
  <si>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</si>
  <si>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</si>
  <si>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</si>
  <si>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</si>
  <si>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</si>
  <si>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</si>
  <si>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</si>
  <si>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</si>
  <si>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</si>
  <si>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</si>
  <si>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</si>
  <si>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</si>
  <si>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</si>
  <si>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</si>
  <si>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</si>
  <si>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</si>
  <si>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</si>
  <si>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</si>
  <si>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</si>
  <si>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</si>
  <si>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</si>
  <si>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</si>
  <si>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</si>
  <si>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</si>
  <si>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</si>
  <si>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</si>
  <si>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</si>
  <si>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</si>
  <si>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</si>
  <si>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</si>
  <si>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</si>
  <si>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</si>
  <si>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</si>
  <si>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</si>
  <si>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</si>
  <si>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</si>
  <si>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</si>
  <si>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</si>
  <si>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</si>
  <si>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</si>
  <si>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</si>
  <si>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</si>
  <si>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</si>
  <si>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</si>
  <si>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</si>
  <si>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</si>
  <si>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</si>
  <si>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</si>
  <si>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</si>
  <si>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</si>
  <si>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</si>
  <si>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</si>
  <si>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</si>
  <si>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</si>
  <si>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</si>
  <si>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</si>
  <si>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</si>
  <si>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</si>
  <si>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</si>
  <si>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</si>
  <si>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</si>
  <si>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</si>
  <si>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</si>
  <si>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</si>
  <si>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</si>
  <si>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</si>
  <si>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</si>
  <si>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</si>
  <si>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</si>
  <si>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</si>
  <si>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</si>
  <si>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</si>
  <si>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</si>
  <si>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</si>
  <si>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</si>
  <si>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</si>
  <si>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</si>
  <si>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</si>
  <si>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</si>
  <si>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</si>
  <si>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</si>
  <si>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</si>
  <si>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</si>
  <si>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</si>
  <si>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</si>
  <si>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</si>
  <si>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</si>
  <si>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</si>
  <si>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</si>
  <si>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</si>
  <si>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</si>
  <si>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</si>
  <si>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</si>
  <si>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</si>
  <si>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</si>
  <si>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</si>
  <si>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</si>
  <si>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</si>
  <si>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</si>
  <si>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</si>
  <si>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</si>
  <si>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</si>
  <si>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</si>
  <si>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</si>
  <si>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</si>
  <si>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</si>
  <si>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</si>
  <si>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</si>
  <si>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</si>
  <si>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</si>
  <si>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</si>
  <si>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</si>
  <si>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</si>
  <si>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</si>
  <si>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</si>
  <si>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</si>
  <si>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</si>
  <si>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</si>
  <si>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</si>
  <si>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</si>
  <si>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</si>
  <si>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</si>
  <si>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</si>
  <si>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</si>
  <si>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</si>
  <si>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</si>
  <si>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</si>
  <si>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</si>
  <si>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</si>
  <si>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</si>
  <si>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</si>
  <si>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</si>
  <si>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</si>
  <si>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</si>
  <si>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</si>
  <si>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</si>
  <si>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</si>
  <si>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</si>
  <si>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</si>
  <si>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</si>
  <si>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</si>
  <si>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</si>
  <si>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</si>
  <si>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</si>
  <si>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</si>
  <si>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</si>
  <si>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</si>
  <si>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</si>
  <si>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</si>
  <si>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</si>
  <si>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</si>
  <si>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</si>
  <si>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</si>
  <si>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</si>
  <si>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</si>
  <si>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</si>
  <si>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</si>
  <si>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</si>
  <si>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</si>
  <si>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</si>
  <si>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</si>
  <si>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</si>
  <si>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</si>
  <si>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</si>
  <si>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</si>
  <si>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</si>
  <si>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</si>
  <si>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</si>
  <si>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</si>
  <si>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</si>
  <si>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</si>
  <si>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</si>
  <si>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</si>
  <si>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</si>
  <si>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</si>
  <si>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</si>
  <si>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</si>
  <si>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</si>
  <si>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</si>
  <si>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</si>
  <si>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</si>
  <si>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</si>
  <si>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</si>
  <si>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</si>
  <si>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</si>
  <si>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</si>
  <si>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</si>
  <si>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</si>
  <si>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</si>
  <si>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</si>
  <si>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</si>
  <si>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</si>
  <si>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</si>
  <si>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</si>
  <si>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</si>
  <si>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</si>
  <si>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</si>
  <si>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</si>
  <si>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</si>
  <si>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</si>
  <si>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</si>
  <si>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</si>
  <si>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</si>
  <si>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</si>
  <si>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</si>
  <si>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</si>
  <si>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</si>
  <si>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</si>
  <si>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</si>
  <si>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</si>
  <si>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</si>
  <si>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</si>
  <si>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</si>
  <si>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</si>
  <si>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</si>
  <si>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</si>
  <si>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</si>
  <si>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</si>
  <si>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</si>
  <si>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</si>
  <si>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</si>
  <si>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</si>
  <si>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</si>
  <si>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</si>
  <si>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</si>
  <si>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</si>
  <si>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</si>
  <si>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</si>
  <si>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</si>
  <si>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</si>
  <si>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</si>
  <si>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</si>
  <si>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</si>
  <si>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</si>
  <si>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</si>
  <si>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</si>
  <si>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</si>
  <si>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</si>
  <si>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</si>
  <si>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</si>
  <si>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</si>
  <si>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</si>
  <si>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</si>
  <si>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</si>
  <si>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</si>
  <si>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</si>
  <si>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</si>
  <si>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</si>
  <si>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</si>
  <si>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</si>
  <si>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</si>
  <si>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</si>
  <si>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</si>
  <si>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</si>
  <si>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</si>
  <si>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</si>
  <si>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</si>
  <si>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</si>
  <si>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</si>
  <si>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</si>
  <si>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</si>
  <si>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</si>
  <si>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</si>
  <si>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</si>
  <si>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</si>
  <si>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</si>
  <si>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</si>
  <si>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</si>
  <si>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</si>
  <si>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</si>
  <si>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</si>
  <si>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</si>
  <si>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</si>
  <si>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</si>
  <si>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</si>
  <si>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</si>
  <si>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</si>
  <si>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</si>
  <si>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</si>
  <si>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</si>
  <si>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</si>
  <si>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</si>
  <si>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</si>
  <si>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</si>
  <si>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</si>
  <si>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</si>
  <si>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</si>
  <si>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</si>
  <si>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</si>
  <si>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</si>
  <si>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</si>
  <si>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</si>
  <si>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</si>
  <si>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</si>
  <si>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</si>
  <si>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</si>
  <si>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</si>
  <si>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</si>
  <si>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</si>
  <si>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</si>
  <si>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</si>
  <si>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</si>
  <si>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</si>
  <si>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</si>
  <si>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</si>
  <si>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</si>
  <si>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</si>
  <si>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</si>
  <si>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</si>
  <si>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</si>
  <si>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</si>
  <si>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</si>
  <si>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</si>
  <si>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</si>
  <si>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</si>
  <si>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</si>
  <si>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</si>
  <si>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</si>
  <si>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</si>
  <si>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</si>
  <si>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</si>
  <si>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</si>
  <si>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</si>
  <si>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</si>
  <si>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</si>
  <si>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</si>
  <si>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</si>
  <si>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</si>
  <si>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</si>
  <si>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</si>
  <si>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</si>
  <si>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</si>
  <si>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</si>
  <si>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</si>
  <si>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</si>
  <si>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</si>
  <si>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</si>
  <si>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</si>
  <si>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</si>
  <si>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</si>
  <si>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</si>
  <si>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</si>
  <si>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</si>
  <si>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</si>
  <si>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</si>
  <si>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</si>
  <si>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</si>
  <si>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</si>
  <si>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</si>
  <si>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</si>
  <si>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</si>
  <si>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</si>
  <si>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</si>
  <si>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</si>
  <si>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</si>
  <si>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</si>
  <si>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</si>
  <si>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</si>
  <si>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</si>
  <si>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</si>
  <si>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</si>
  <si>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</si>
  <si>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</si>
  <si>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</si>
  <si>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</si>
  <si>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</si>
  <si>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</si>
  <si>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</si>
  <si>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</si>
  <si>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</si>
  <si>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</si>
  <si>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</si>
  <si>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</si>
  <si>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</si>
  <si>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</si>
  <si>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</si>
  <si>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</si>
  <si>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</si>
  <si>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</si>
  <si>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</si>
  <si>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</si>
  <si>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</si>
  <si>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</si>
  <si>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</si>
  <si>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</si>
  <si>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</si>
  <si>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</si>
  <si>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</si>
  <si>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</si>
  <si>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</si>
  <si>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</si>
  <si>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</si>
  <si>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</si>
  <si>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</si>
  <si>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</si>
  <si>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</si>
  <si>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</si>
  <si>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</si>
  <si>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</si>
  <si>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</si>
  <si>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</si>
  <si>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</si>
  <si>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</si>
  <si>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</si>
  <si>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</si>
  <si>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</si>
  <si>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</si>
  <si>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</si>
  <si>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</si>
  <si>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</si>
  <si>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</si>
  <si>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</si>
  <si>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</si>
  <si>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</si>
  <si>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</si>
  <si>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</si>
  <si>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</si>
  <si>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</si>
  <si>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</si>
  <si>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</si>
  <si>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</si>
  <si>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</si>
  <si>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</si>
  <si>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</si>
  <si>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</si>
  <si>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</si>
  <si>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</si>
  <si>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</si>
  <si>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</si>
  <si>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</si>
  <si>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</si>
  <si>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</si>
  <si>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</si>
  <si>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</si>
  <si>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</si>
  <si>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</si>
  <si>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</si>
  <si>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</si>
  <si>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</si>
  <si>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</si>
  <si>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</si>
  <si>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</si>
  <si>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</si>
  <si>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</si>
  <si>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</si>
  <si>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</si>
  <si>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</si>
  <si>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</si>
  <si>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</si>
  <si>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</si>
  <si>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</si>
  <si>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</si>
  <si>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</si>
  <si>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</si>
  <si>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</si>
  <si>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</si>
  <si>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</si>
  <si>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</si>
  <si>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</si>
  <si>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</si>
  <si>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</si>
  <si>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</si>
  <si>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</si>
  <si>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</si>
  <si>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</si>
  <si>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</si>
  <si>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</si>
  <si>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</si>
  <si>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</si>
  <si>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</si>
  <si>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</si>
  <si>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</si>
  <si>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</si>
  <si>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</si>
  <si>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</si>
  <si>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</si>
  <si>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</si>
  <si>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</si>
  <si>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</si>
  <si>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</si>
  <si>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</si>
  <si>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</si>
  <si>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</si>
  <si>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</si>
  <si>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</si>
  <si>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</si>
  <si>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</si>
  <si>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</si>
  <si>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</si>
  <si>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</si>
  <si>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</si>
  <si>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</si>
  <si>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</si>
  <si>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</si>
  <si>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</si>
  <si>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</si>
  <si>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</si>
  <si>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</si>
  <si>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</si>
  <si>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</si>
  <si>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</si>
  <si>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</si>
  <si>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</si>
  <si>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</si>
  <si>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</si>
  <si>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</si>
  <si>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</si>
  <si>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</si>
  <si>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</si>
  <si>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</si>
  <si>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</si>
  <si>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</si>
  <si>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</si>
  <si>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</si>
  <si>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</si>
  <si>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</si>
  <si>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</si>
  <si>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</si>
  <si>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</si>
  <si>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</si>
  <si>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</si>
  <si>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</si>
  <si>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</si>
  <si>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</si>
  <si>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</si>
  <si>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</si>
  <si>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</si>
  <si>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</si>
  <si>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</si>
  <si>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</si>
  <si>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</si>
  <si>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</si>
  <si>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</si>
  <si>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</si>
  <si>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</si>
  <si>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</si>
  <si>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</si>
  <si>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</si>
  <si>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</si>
  <si>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</si>
  <si>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</si>
  <si>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</si>
  <si>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</si>
  <si>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</si>
  <si>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</si>
  <si>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</si>
  <si>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</si>
  <si>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</si>
  <si>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</si>
  <si>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</si>
  <si>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</si>
  <si>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</si>
  <si>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</si>
  <si>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</si>
  <si>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</si>
  <si>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</si>
  <si>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</si>
  <si>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</si>
  <si>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</si>
  <si>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</si>
  <si>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</si>
  <si>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</si>
  <si>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</si>
  <si>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</si>
  <si>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</si>
  <si>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</si>
  <si>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</si>
  <si>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</si>
  <si>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</si>
  <si>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</si>
  <si>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</si>
  <si>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</si>
  <si>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</si>
  <si>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</si>
  <si>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</si>
  <si>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</si>
  <si>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</si>
  <si>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</si>
  <si>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</si>
  <si>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</si>
  <si>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</si>
  <si>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</si>
  <si>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</si>
  <si>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</si>
  <si>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</si>
  <si>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</si>
  <si>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</si>
  <si>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</si>
  <si>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</si>
  <si>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</si>
  <si>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</si>
  <si>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</si>
  <si>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</si>
  <si>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</si>
  <si>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</si>
  <si>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</si>
  <si>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</si>
  <si>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</si>
  <si>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</si>
  <si>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</si>
  <si>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</si>
  <si>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</si>
  <si>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</si>
  <si>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</si>
  <si>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</si>
  <si>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</si>
  <si>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</si>
  <si>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</si>
  <si>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</si>
  <si>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</si>
  <si>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</si>
  <si>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</si>
  <si>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</si>
  <si>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</si>
  <si>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</si>
  <si>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</si>
  <si>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</si>
  <si>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</si>
  <si>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</si>
  <si>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</si>
  <si>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</si>
  <si>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</si>
  <si>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</si>
  <si>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</si>
  <si>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</si>
  <si>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</si>
  <si>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</si>
  <si>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</si>
  <si>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</si>
  <si>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</si>
  <si>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</si>
  <si>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</si>
  <si>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</si>
  <si>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</si>
  <si>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</si>
  <si>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</si>
  <si>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</si>
  <si>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</si>
  <si>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</si>
  <si>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</si>
  <si>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</si>
  <si>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</si>
  <si>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</si>
  <si>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</si>
  <si>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</si>
  <si>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</si>
  <si>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</si>
  <si>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</si>
  <si>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</si>
  <si>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</si>
  <si>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</si>
  <si>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</si>
  <si>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</si>
  <si>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</si>
  <si>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</si>
  <si>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</si>
  <si>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</si>
  <si>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</si>
  <si>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</si>
  <si>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</si>
  <si>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</si>
  <si>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</si>
  <si>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</si>
  <si>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</si>
  <si>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</si>
  <si>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</si>
  <si>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</si>
  <si>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</si>
  <si>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</si>
  <si>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</si>
  <si>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</si>
  <si>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</si>
  <si>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</si>
  <si>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</si>
  <si>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</si>
  <si>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</si>
  <si>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</si>
  <si>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</si>
  <si>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</si>
  <si>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</si>
  <si>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</si>
  <si>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</si>
  <si>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</si>
  <si>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</si>
  <si>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</si>
  <si>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</si>
  <si>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</si>
  <si>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</si>
  <si>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</si>
  <si>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</si>
  <si>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</si>
  <si>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</si>
  <si>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</si>
  <si>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</si>
  <si>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</si>
  <si>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</si>
  <si>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</si>
  <si>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</si>
  <si>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</si>
  <si>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</si>
  <si>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</si>
  <si>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</si>
  <si>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</si>
  <si>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</si>
  <si>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</si>
  <si>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</si>
  <si>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</si>
  <si>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</si>
  <si>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</si>
  <si>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</si>
  <si>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</si>
  <si>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</si>
  <si>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</si>
  <si>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</si>
  <si>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</si>
  <si>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</si>
  <si>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</si>
  <si>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</si>
  <si>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</si>
  <si>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</si>
  <si>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</si>
  <si>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</si>
  <si>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</si>
  <si>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</si>
  <si>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</si>
  <si>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</si>
  <si>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</si>
  <si>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</si>
  <si>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</si>
  <si>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</si>
  <si>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</si>
  <si>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</si>
  <si>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</si>
  <si>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</si>
  <si>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</si>
  <si>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</si>
  <si>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</si>
  <si>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</si>
  <si>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</si>
  <si>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</si>
  <si>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</si>
  <si>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</si>
  <si>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</si>
  <si>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</si>
  <si>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</si>
  <si>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</si>
  <si>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</si>
  <si>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</si>
  <si>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</si>
  <si>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</si>
  <si>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</si>
  <si>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</si>
  <si>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</si>
  <si>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</si>
  <si>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</si>
  <si>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</si>
  <si>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</si>
  <si>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</si>
  <si>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</si>
  <si>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</si>
  <si>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</si>
  <si>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</si>
  <si>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</si>
  <si>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</si>
  <si>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</si>
  <si>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</si>
  <si>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</si>
  <si>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</si>
  <si>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</si>
  <si>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</si>
  <si>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</si>
  <si>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</si>
  <si>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</si>
  <si>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</si>
  <si>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</si>
  <si>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</si>
  <si>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</si>
  <si>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</si>
  <si>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</si>
  <si>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</si>
  <si>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</si>
  <si>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</si>
  <si>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</si>
  <si>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</si>
  <si>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</si>
  <si>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</si>
  <si>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</si>
  <si>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</si>
  <si>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</si>
  <si>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</si>
  <si>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</si>
  <si>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</si>
  <si>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</si>
  <si>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</si>
  <si>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</si>
  <si>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</si>
  <si>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</si>
  <si>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</si>
  <si>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</si>
  <si>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</si>
  <si>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</si>
  <si>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</si>
  <si>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</si>
  <si>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</si>
  <si>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</si>
  <si>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</si>
  <si>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</si>
  <si>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</si>
  <si>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</si>
  <si>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</si>
  <si>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</si>
  <si>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</si>
  <si>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</si>
  <si>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</si>
  <si>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</si>
  <si>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</si>
  <si>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</si>
  <si>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</si>
  <si>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</si>
  <si>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</si>
  <si>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</si>
  <si>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</si>
  <si>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</si>
  <si>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</si>
  <si>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</si>
  <si>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</si>
  <si>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</si>
  <si>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</si>
  <si>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</si>
  <si>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</si>
  <si>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</si>
  <si>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</si>
  <si>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</si>
  <si>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</si>
  <si>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</si>
  <si>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</si>
  <si>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</si>
  <si>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</si>
  <si>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</si>
  <si>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</si>
  <si>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</si>
  <si>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</si>
  <si>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</si>
  <si>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</si>
  <si>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</si>
  <si>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</si>
  <si>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</si>
  <si>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</si>
  <si>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</si>
  <si>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</si>
  <si>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</si>
  <si>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</si>
  <si>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</si>
  <si>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</si>
  <si>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</si>
  <si>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</si>
  <si>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</si>
  <si>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</si>
  <si>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</si>
  <si>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</si>
  <si>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</si>
  <si>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</si>
  <si>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</si>
  <si>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</si>
  <si>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</si>
  <si>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</si>
  <si>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</si>
  <si>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</si>
  <si>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</si>
  <si>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</si>
  <si>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</si>
  <si>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</si>
  <si>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</si>
  <si>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</si>
  <si>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</si>
  <si>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</si>
  <si>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</si>
  <si>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</si>
  <si>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</si>
  <si>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</si>
  <si>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</si>
  <si>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</si>
  <si>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</si>
  <si>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</si>
  <si>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</si>
  <si>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</si>
  <si>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</si>
  <si>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</si>
  <si>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</si>
  <si>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</si>
  <si>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</si>
  <si>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</si>
  <si>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</si>
  <si>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</si>
  <si>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</si>
  <si>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</si>
  <si>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</si>
  <si>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</si>
  <si>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</si>
  <si>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</si>
  <si>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</si>
  <si>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</si>
  <si>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</si>
  <si>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</si>
  <si>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</si>
  <si>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</si>
  <si>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</si>
  <si>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</si>
  <si>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</si>
  <si>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</si>
  <si>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</si>
  <si>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</si>
  <si>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</si>
  <si>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</si>
  <si>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</si>
  <si>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</si>
  <si>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</si>
  <si>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</si>
  <si>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</si>
  <si>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</si>
  <si>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</si>
  <si>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</si>
  <si>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</si>
  <si>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</si>
  <si>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</si>
  <si>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</si>
  <si>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</si>
  <si>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</si>
  <si>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</si>
  <si>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</si>
  <si>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</si>
  <si>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</si>
  <si>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</si>
  <si>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</si>
  <si>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</si>
  <si>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</si>
  <si>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</si>
  <si>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</si>
  <si>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</si>
  <si>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</si>
  <si>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</si>
  <si>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</si>
  <si>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</si>
  <si>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</si>
  <si>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</si>
  <si>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</si>
  <si>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</si>
  <si>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</si>
  <si>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</si>
  <si>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</si>
  <si>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</si>
  <si>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</si>
  <si>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</si>
  <si>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</si>
  <si>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</si>
  <si>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</si>
  <si>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</si>
  <si>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</si>
  <si>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</si>
  <si>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</si>
  <si>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</si>
  <si>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</si>
  <si>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</si>
  <si>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</si>
  <si>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</si>
  <si>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</si>
  <si>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</si>
  <si>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</si>
  <si>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</si>
  <si>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</si>
  <si>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</si>
  <si>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</si>
  <si>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</si>
  <si>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</si>
  <si>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</si>
  <si>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</si>
  <si>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</si>
  <si>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</si>
  <si>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</si>
  <si>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</si>
  <si>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</si>
  <si>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</si>
  <si>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</si>
  <si>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</si>
  <si>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</si>
  <si>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</si>
  <si>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</si>
  <si>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</si>
  <si>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</si>
  <si>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</si>
  <si>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</si>
  <si>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</si>
  <si>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</si>
  <si>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</si>
  <si>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</si>
  <si>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</si>
  <si>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</si>
  <si>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</si>
  <si>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</si>
  <si>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</si>
  <si>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</si>
  <si>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</si>
  <si>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</si>
  <si>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</si>
  <si>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</si>
  <si>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</si>
  <si>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</si>
  <si>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</si>
  <si>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</si>
  <si>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</si>
  <si>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</si>
  <si>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</si>
  <si>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</si>
  <si>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</si>
  <si>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</si>
  <si>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</si>
  <si>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</si>
  <si>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</si>
  <si>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</si>
  <si>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</si>
  <si>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</si>
  <si>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</si>
  <si>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</si>
  <si>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</si>
  <si>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</si>
  <si>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</si>
  <si>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</si>
  <si>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</si>
  <si>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</si>
  <si>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</si>
  <si>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</si>
  <si>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</si>
  <si>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</si>
  <si>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</si>
  <si>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</si>
  <si>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</si>
  <si>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</si>
  <si>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</si>
  <si>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</si>
  <si>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</si>
  <si>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</si>
  <si>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</si>
  <si>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</si>
  <si>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</si>
  <si>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</si>
  <si>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</si>
  <si>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</si>
  <si>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</si>
  <si>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</si>
  <si>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</si>
  <si>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</si>
  <si>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</si>
  <si>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</si>
  <si>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</si>
  <si>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</si>
  <si>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</si>
  <si>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</si>
  <si>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</si>
  <si>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</si>
  <si>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</si>
  <si>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</si>
  <si>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</si>
  <si>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</si>
  <si>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</si>
  <si>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</si>
  <si>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</si>
  <si>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</si>
  <si>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</si>
  <si>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</si>
  <si>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</si>
  <si>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</si>
  <si>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</si>
  <si>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</si>
  <si>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</si>
  <si>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</si>
  <si>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</si>
  <si>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</si>
  <si>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</si>
  <si>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</si>
  <si>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</si>
  <si>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</si>
  <si>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</si>
  <si>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</si>
  <si>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</si>
  <si>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</si>
  <si>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</si>
  <si>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</si>
  <si>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</si>
  <si>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</si>
  <si>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</si>
  <si>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</si>
  <si>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</si>
  <si>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</si>
  <si>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</si>
  <si>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</si>
  <si>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</si>
  <si>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</si>
  <si>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</si>
  <si>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</si>
  <si>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</si>
  <si>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</si>
  <si>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</si>
  <si>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</si>
  <si>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</si>
  <si>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</si>
  <si>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</si>
  <si>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</si>
  <si>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</si>
  <si>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</si>
  <si>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</si>
  <si>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</si>
  <si>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</si>
  <si>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</si>
  <si>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</si>
  <si>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</si>
  <si>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</si>
  <si>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</si>
  <si>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</si>
  <si>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</si>
  <si>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</si>
  <si>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</si>
  <si>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</si>
  <si>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</si>
  <si>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</si>
  <si>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</si>
  <si>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</si>
  <si>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</si>
  <si>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</si>
  <si>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</si>
  <si>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</si>
  <si>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</si>
  <si>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</si>
  <si>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</si>
  <si>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</si>
  <si>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</si>
  <si>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</si>
  <si>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</si>
  <si>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</si>
  <si>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</si>
  <si>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</si>
  <si>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</si>
  <si>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</si>
  <si>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</si>
  <si>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</si>
  <si>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</si>
  <si>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</si>
  <si>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</si>
  <si>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</si>
  <si>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</si>
  <si>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</si>
  <si>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</si>
  <si>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</si>
  <si>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</si>
  <si>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</si>
  <si>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</si>
  <si>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</si>
  <si>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</si>
  <si>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</si>
  <si>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</si>
  <si>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</si>
  <si>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</si>
  <si>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</si>
  <si>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</si>
  <si>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</si>
  <si>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</si>
  <si>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</si>
  <si>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</si>
  <si>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</si>
  <si>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</si>
  <si>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</si>
  <si>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</si>
  <si>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</si>
  <si>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</si>
  <si>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</si>
  <si>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</si>
  <si>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</si>
  <si>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</si>
  <si>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</si>
  <si>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</si>
  <si>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</si>
  <si>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</si>
  <si>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</si>
  <si>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</si>
  <si>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</si>
  <si>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</si>
  <si>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</si>
  <si>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</si>
  <si>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</si>
  <si>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</si>
  <si>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</si>
  <si>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</si>
  <si>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</si>
  <si>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</si>
  <si>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</si>
  <si>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</si>
  <si>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</si>
  <si>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</si>
  <si>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</si>
  <si>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</si>
  <si>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</si>
  <si>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</si>
  <si>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</si>
  <si>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</si>
  <si>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</si>
  <si>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</si>
  <si>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</si>
  <si>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</si>
  <si>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</si>
  <si>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</si>
  <si>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</si>
  <si>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</si>
  <si>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</si>
  <si>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</si>
  <si>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</si>
  <si>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</si>
  <si>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</si>
  <si>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</si>
  <si>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</si>
  <si>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</si>
  <si>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</si>
  <si>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</si>
  <si>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</si>
  <si>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</si>
  <si>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</si>
  <si>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</si>
  <si>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</si>
  <si>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</si>
  <si>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</si>
  <si>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</si>
  <si>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</si>
  <si>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</si>
  <si>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</si>
  <si>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</si>
  <si>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</si>
  <si>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</si>
  <si>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</si>
  <si>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</si>
  <si>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</si>
  <si>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</si>
  <si>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</si>
  <si>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</si>
  <si>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</si>
  <si>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</si>
  <si>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</si>
  <si>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</si>
  <si>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</si>
  <si>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</si>
  <si>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</si>
  <si>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</si>
  <si>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</si>
  <si>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</si>
  <si>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</si>
  <si>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</si>
  <si>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</si>
  <si>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</si>
  <si>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</si>
  <si>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</si>
  <si>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</si>
  <si>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</si>
  <si>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</si>
  <si>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</si>
  <si>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</si>
  <si>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</si>
  <si>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</si>
  <si>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</si>
  <si>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</si>
  <si>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</si>
  <si>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</si>
  <si>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</si>
  <si>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</si>
  <si>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</si>
  <si>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</si>
  <si>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</si>
  <si>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</si>
  <si>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</si>
  <si>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</si>
  <si>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</si>
  <si>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</si>
  <si>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</si>
  <si>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</si>
  <si>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</si>
  <si>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</si>
  <si>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</si>
  <si>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</si>
  <si>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</si>
  <si>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</si>
  <si>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</si>
  <si>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</si>
  <si>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</si>
  <si>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</si>
  <si>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</si>
  <si>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</si>
  <si>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</si>
  <si>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</si>
  <si>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</si>
  <si>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</si>
  <si>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</si>
  <si>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</si>
  <si>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</si>
  <si>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</si>
  <si>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</si>
  <si>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</si>
  <si>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</si>
  <si>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</si>
  <si>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</si>
  <si>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</si>
  <si>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</si>
  <si>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</si>
  <si>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</si>
  <si>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</si>
  <si>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</si>
  <si>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</si>
  <si>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</si>
  <si>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</si>
  <si>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</si>
  <si>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</si>
  <si>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</si>
  <si>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</si>
  <si>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</si>
  <si>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</si>
  <si>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</si>
  <si>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</si>
  <si>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</si>
  <si>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</si>
  <si>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</si>
  <si>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</si>
  <si>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</si>
  <si>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</si>
  <si>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</si>
  <si>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</si>
  <si>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</si>
  <si>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</si>
  <si>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</si>
  <si>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</si>
  <si>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</si>
  <si>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</si>
  <si>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</si>
  <si>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</si>
  <si>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</si>
  <si>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</si>
  <si>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</si>
  <si>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</si>
  <si>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</si>
  <si>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</si>
  <si>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</si>
  <si>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</si>
  <si>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</si>
  <si>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</si>
  <si>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</si>
  <si>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</si>
  <si>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</si>
  <si>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</si>
  <si>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</si>
  <si>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</si>
  <si>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</si>
  <si>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</si>
  <si>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</si>
  <si>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</si>
  <si>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</si>
  <si>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</si>
  <si>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</si>
  <si>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</si>
  <si>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</si>
  <si>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</si>
  <si>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</si>
  <si>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</si>
  <si>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</si>
  <si>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</si>
  <si>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</si>
  <si>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</si>
  <si>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</si>
  <si>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</si>
  <si>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</si>
  <si>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</si>
  <si>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</si>
  <si>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</si>
  <si>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</si>
  <si>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</si>
  <si>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</si>
  <si>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</si>
  <si>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</si>
  <si>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</si>
  <si>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</si>
  <si>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</si>
  <si>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</si>
  <si>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</si>
  <si>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</si>
  <si>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</si>
  <si>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</si>
  <si>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</si>
  <si>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</si>
  <si>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</si>
  <si>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</si>
  <si>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</si>
  <si>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</si>
  <si>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</si>
  <si>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</si>
  <si>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</si>
  <si>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</si>
  <si>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</si>
  <si>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</si>
  <si>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</si>
  <si>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</si>
  <si>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</si>
  <si>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</si>
  <si>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</si>
  <si>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</si>
  <si>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</si>
  <si>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</si>
  <si>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</si>
  <si>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</si>
  <si>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</si>
  <si>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</si>
  <si>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</si>
  <si>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</si>
  <si>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</si>
  <si>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</si>
  <si>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</si>
  <si>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</si>
  <si>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</si>
  <si>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</si>
  <si>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</si>
  <si>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</si>
  <si>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</si>
  <si>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</si>
  <si>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</si>
  <si>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</si>
  <si>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</si>
  <si>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</si>
  <si>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</si>
  <si>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</si>
  <si>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</si>
  <si>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</si>
  <si>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</si>
  <si>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</si>
  <si>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</si>
  <si>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</si>
  <si>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</si>
  <si>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</si>
  <si>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</si>
  <si>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</si>
  <si>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</si>
  <si>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</si>
  <si>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</si>
  <si>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</si>
  <si>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</si>
  <si>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</si>
  <si>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</si>
  <si>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</si>
  <si>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</si>
  <si>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</si>
  <si>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</si>
  <si>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</si>
  <si>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</si>
  <si>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</si>
  <si>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</si>
  <si>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</si>
  <si>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</si>
  <si>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</si>
  <si>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</si>
  <si>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</si>
  <si>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</si>
  <si>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</si>
  <si>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</si>
  <si>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</si>
  <si>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</si>
  <si>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</si>
  <si>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</si>
  <si>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</si>
  <si>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</si>
  <si>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</si>
  <si>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</si>
  <si>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</si>
  <si>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</si>
  <si>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</si>
  <si>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</si>
  <si>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</si>
  <si>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</si>
  <si>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</si>
  <si>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</si>
  <si>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</si>
  <si>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</si>
  <si>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</si>
  <si>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</si>
  <si>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</si>
  <si>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</si>
  <si>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</si>
  <si>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</si>
  <si>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</si>
  <si>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</si>
  <si>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</si>
  <si>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</si>
  <si>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</si>
  <si>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</si>
  <si>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</si>
  <si>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</si>
  <si>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</si>
  <si>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</si>
  <si>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</si>
  <si>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</si>
  <si>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</si>
  <si>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</si>
  <si>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</si>
  <si>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</si>
  <si>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</si>
  <si>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</si>
  <si>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</si>
  <si>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</si>
  <si>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</si>
  <si>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</si>
  <si>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</si>
  <si>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</si>
  <si>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</si>
  <si>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</si>
  <si>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</si>
  <si>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</si>
  <si>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</si>
  <si>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</si>
  <si>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</si>
  <si>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</si>
  <si>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</si>
  <si>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</si>
  <si>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</si>
  <si>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</si>
  <si>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</si>
  <si>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</si>
  <si>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</si>
  <si>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</si>
  <si>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</si>
  <si>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</si>
  <si>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</si>
  <si>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</si>
  <si>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</si>
  <si>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</si>
  <si>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</si>
  <si>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</si>
  <si>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</si>
  <si>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</si>
  <si>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</si>
  <si>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</si>
  <si>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</si>
  <si>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</si>
  <si>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</si>
  <si>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</si>
  <si>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</si>
  <si>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</si>
  <si>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</si>
  <si>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</si>
  <si>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</si>
  <si>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</si>
  <si>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</si>
  <si>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</si>
  <si>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</si>
  <si>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</si>
  <si>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</si>
  <si>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</si>
  <si>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</si>
  <si>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</si>
  <si>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</si>
  <si>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</si>
  <si>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</si>
  <si>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</si>
  <si>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</si>
  <si>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</si>
  <si>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</si>
  <si>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</si>
  <si>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</si>
  <si>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</si>
  <si>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</si>
  <si>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</si>
  <si>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</si>
  <si>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</si>
  <si>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</si>
  <si>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</si>
  <si>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</si>
  <si>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</si>
  <si>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</si>
  <si>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</si>
  <si>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</si>
  <si>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</si>
  <si>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</si>
  <si>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</si>
  <si>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</si>
  <si>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</si>
  <si>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</si>
  <si>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</si>
  <si>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</si>
  <si>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</si>
  <si>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</si>
  <si>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</si>
  <si>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</si>
  <si>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</si>
  <si>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</si>
  <si>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</si>
  <si>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</si>
  <si>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</si>
  <si>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</si>
  <si>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</si>
  <si>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</si>
  <si>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</si>
  <si>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</si>
  <si>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</si>
  <si>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</si>
  <si>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</si>
  <si>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</si>
  <si>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</si>
  <si>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</si>
  <si>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</si>
  <si>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</si>
  <si>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</si>
  <si>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</si>
  <si>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</si>
  <si>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</si>
  <si>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</si>
  <si>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</si>
  <si>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</si>
  <si>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</si>
  <si>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</si>
  <si>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</si>
  <si>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</si>
  <si>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</si>
  <si>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</si>
  <si>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</si>
  <si>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</si>
  <si>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</si>
  <si>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</si>
  <si>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</si>
  <si>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</si>
  <si>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</si>
  <si>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</si>
  <si>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</si>
  <si>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</si>
  <si>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</si>
  <si>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</si>
  <si>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</si>
  <si>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</si>
  <si>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</si>
  <si>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</si>
  <si>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</si>
  <si>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</si>
  <si>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</si>
  <si>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</si>
  <si>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</si>
  <si>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</si>
  <si>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</si>
  <si>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</si>
  <si>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</si>
  <si>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</si>
  <si>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</si>
  <si>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</si>
  <si>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</si>
  <si>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</si>
  <si>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</si>
  <si>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</si>
  <si>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</si>
  <si>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</si>
  <si>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</si>
  <si>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</si>
  <si>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</si>
  <si>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</si>
  <si>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</si>
  <si>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</si>
  <si>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</si>
  <si>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</si>
  <si>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</si>
  <si>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</si>
  <si>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</si>
  <si>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</si>
  <si>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</si>
  <si>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</si>
  <si>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</si>
  <si>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</si>
  <si>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</si>
  <si>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</si>
  <si>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</si>
  <si>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</si>
  <si>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</si>
  <si>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</si>
  <si>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</si>
  <si>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</si>
  <si>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</si>
  <si>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</si>
  <si>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</si>
  <si>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</si>
  <si>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</si>
  <si>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</si>
  <si>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</si>
  <si>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</si>
  <si>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</si>
  <si>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</si>
  <si>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</si>
  <si>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</si>
  <si>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</si>
  <si>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</si>
  <si>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</si>
  <si>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</si>
  <si>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</si>
  <si>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</si>
  <si>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</si>
  <si>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</si>
  <si>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</si>
  <si>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</si>
  <si>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</si>
  <si>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</si>
  <si>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</si>
  <si>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</si>
  <si>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</si>
  <si>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</si>
  <si>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</si>
  <si>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</si>
  <si>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</si>
  <si>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</si>
  <si>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</si>
  <si>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</si>
  <si>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</si>
  <si>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</si>
  <si>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</si>
  <si>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</si>
  <si>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</si>
  <si>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</si>
  <si>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</si>
  <si>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</si>
  <si>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</si>
  <si>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</si>
  <si>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</si>
  <si>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</si>
  <si>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</si>
  <si>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</si>
  <si>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</si>
  <si>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</si>
  <si>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</si>
  <si>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</si>
  <si>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</si>
  <si>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</si>
  <si>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</si>
  <si>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</si>
  <si>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</si>
  <si>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</si>
  <si>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</si>
  <si>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</si>
  <si>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</si>
  <si>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</si>
  <si>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</si>
  <si>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</si>
  <si>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</si>
  <si>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</si>
  <si>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</si>
  <si>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</si>
  <si>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</si>
  <si>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</si>
  <si>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</si>
  <si>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</si>
  <si>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</si>
  <si>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</si>
  <si>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</si>
  <si>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</si>
  <si>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</si>
  <si>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</si>
  <si>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</si>
  <si>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</si>
  <si>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</si>
  <si>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</si>
  <si>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</si>
  <si>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</si>
  <si>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</si>
  <si>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</si>
  <si>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</si>
  <si>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</si>
  <si>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</si>
  <si>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</si>
  <si>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</si>
  <si>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</si>
  <si>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</si>
  <si>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</si>
  <si>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</si>
  <si>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</si>
  <si>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</si>
  <si>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</si>
  <si>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</si>
  <si>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</si>
  <si>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</si>
  <si>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</si>
  <si>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</si>
  <si>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</si>
  <si>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</si>
  <si>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</si>
  <si>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</si>
  <si>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</si>
  <si>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</si>
  <si>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</si>
  <si>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</si>
  <si>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</si>
  <si>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</si>
  <si>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</si>
  <si>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</si>
  <si>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</si>
  <si>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</si>
  <si>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</si>
  <si>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</si>
  <si>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</si>
  <si>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</si>
  <si>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</si>
  <si>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</si>
  <si>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</si>
  <si>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</si>
  <si>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</si>
  <si>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</si>
  <si>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</si>
  <si>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</si>
  <si>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</si>
  <si>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</si>
  <si>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</si>
  <si>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</si>
  <si>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</si>
  <si>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</si>
  <si>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</si>
  <si>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</si>
  <si>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</si>
  <si>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</si>
  <si>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</si>
  <si>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</si>
  <si>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</si>
  <si>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</si>
  <si>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</si>
  <si>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</si>
  <si>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</si>
  <si>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</si>
  <si>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</si>
  <si>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</si>
  <si>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</si>
  <si>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</si>
  <si>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</si>
  <si>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</si>
  <si>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</si>
  <si>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</si>
  <si>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</si>
  <si>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</si>
  <si>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</si>
  <si>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</si>
  <si>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</si>
  <si>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</si>
  <si>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</si>
  <si>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</si>
  <si>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</si>
  <si>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</si>
  <si>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</si>
  <si>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</si>
  <si>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</si>
  <si>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</si>
  <si>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</si>
  <si>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</si>
  <si>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</si>
  <si>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</si>
  <si>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</si>
  <si>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</si>
  <si>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</si>
  <si>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</si>
  <si>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</si>
  <si>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</si>
  <si>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</si>
  <si>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</si>
  <si>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</si>
  <si>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</si>
  <si>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</si>
  <si>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</si>
  <si>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</si>
  <si>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</si>
  <si>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</si>
  <si>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</si>
  <si>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</si>
  <si>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</si>
  <si>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</si>
  <si>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</si>
  <si>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</si>
  <si>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</si>
  <si>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</si>
  <si>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</si>
  <si>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</si>
  <si>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</si>
  <si>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</si>
  <si>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</si>
  <si>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</si>
  <si>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</si>
  <si>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</si>
  <si>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</si>
  <si>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</si>
  <si>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</si>
  <si>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</si>
  <si>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</si>
  <si>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</si>
  <si>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</si>
  <si>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</si>
  <si>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</si>
  <si>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</si>
  <si>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</si>
  <si>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</si>
  <si>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</si>
  <si>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</si>
  <si>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</si>
  <si>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</si>
  <si>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</si>
  <si>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</si>
  <si>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</si>
  <si>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</si>
  <si>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</si>
  <si>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</si>
  <si>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</si>
  <si>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</si>
  <si>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</si>
  <si>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</si>
  <si>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</si>
  <si>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</si>
  <si>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</si>
  <si>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</si>
  <si>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</si>
  <si>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</si>
  <si>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</si>
  <si>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</si>
  <si>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</si>
  <si>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</si>
  <si>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</si>
  <si>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</si>
  <si>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</si>
  <si>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</si>
  <si>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</si>
  <si>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</si>
  <si>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</si>
  <si>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</si>
  <si>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</si>
  <si>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</si>
  <si>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</si>
  <si>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</si>
  <si>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</si>
  <si>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</si>
  <si>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</si>
  <si>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</si>
  <si>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</si>
  <si>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</si>
  <si>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</si>
  <si>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</si>
  <si>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</si>
  <si>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</si>
  <si>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</si>
  <si>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</si>
  <si>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</si>
  <si>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</si>
  <si>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</si>
  <si>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</si>
  <si>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</si>
  <si>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</si>
  <si>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</si>
  <si>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</si>
  <si>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</si>
  <si>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</si>
  <si>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</si>
  <si>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</si>
  <si>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</si>
  <si>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</si>
  <si>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</si>
  <si>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</si>
  <si>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</si>
  <si>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</si>
  <si>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</si>
  <si>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</si>
  <si>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</si>
  <si>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</si>
  <si>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</si>
  <si>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</si>
  <si>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</si>
  <si>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</si>
  <si>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</si>
  <si>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</si>
  <si>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</si>
  <si>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</si>
  <si>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</si>
  <si>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</si>
  <si>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</si>
  <si>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</si>
  <si>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</si>
  <si>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</si>
  <si>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</si>
  <si>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</si>
  <si>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</si>
  <si>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</si>
  <si>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</si>
  <si>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</si>
  <si>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</si>
  <si>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</si>
  <si>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</si>
  <si>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</si>
  <si>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</si>
  <si>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</si>
  <si>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</si>
  <si>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</si>
  <si>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</si>
  <si>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</si>
  <si>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</si>
  <si>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</si>
  <si>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</si>
  <si>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</si>
  <si>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</si>
  <si>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</si>
  <si>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</si>
  <si>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</si>
  <si>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</si>
  <si>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</si>
  <si>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</si>
  <si>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</si>
  <si>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</si>
  <si>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</si>
  <si>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</si>
  <si>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</si>
  <si>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</si>
  <si>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</si>
  <si>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</si>
  <si>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</si>
  <si>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</si>
  <si>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</si>
  <si>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</si>
  <si>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</si>
  <si>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</si>
  <si>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</si>
  <si>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</si>
  <si>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</si>
  <si>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</si>
  <si>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</si>
  <si>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</si>
  <si>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</si>
  <si>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</si>
  <si>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</si>
  <si>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</si>
  <si>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</si>
  <si>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</si>
  <si>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</si>
  <si>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</si>
  <si>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</si>
  <si>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</si>
  <si>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</si>
  <si>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</si>
  <si>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</si>
  <si>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</si>
  <si>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</si>
  <si>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</si>
  <si>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</si>
  <si>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</si>
  <si>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</si>
  <si>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</si>
  <si>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</si>
  <si>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</si>
  <si>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</si>
  <si>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</si>
  <si>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</si>
  <si>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</si>
  <si>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</si>
  <si>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</si>
  <si>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</si>
  <si>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</si>
  <si>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</si>
  <si>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</si>
  <si>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</si>
  <si>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</si>
  <si>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</si>
  <si>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</si>
  <si>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</si>
  <si>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</si>
  <si>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</si>
  <si>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</si>
  <si>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</si>
  <si>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</si>
  <si>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</si>
  <si>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</si>
  <si>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</si>
  <si>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</si>
  <si>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</si>
  <si>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</si>
  <si>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</si>
  <si>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</si>
  <si>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</si>
  <si>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</si>
  <si>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</si>
  <si>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</si>
  <si>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</si>
  <si>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</si>
  <si>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</si>
  <si>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</si>
  <si>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</si>
  <si>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</si>
  <si>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</si>
  <si>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</si>
  <si>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</si>
  <si>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</si>
  <si>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</si>
  <si>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</si>
  <si>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</si>
  <si>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</si>
  <si>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</si>
  <si>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</si>
  <si>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</si>
  <si>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</si>
  <si>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</si>
  <si>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</si>
  <si>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</si>
  <si>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</si>
  <si>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</si>
  <si>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</si>
  <si>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</si>
  <si>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</si>
  <si>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</si>
  <si>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</si>
  <si>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</si>
  <si>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</si>
  <si>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</si>
  <si>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</si>
  <si>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</si>
  <si>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</si>
  <si>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</si>
  <si>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</si>
  <si>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</si>
  <si>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</si>
  <si>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</si>
  <si>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</si>
  <si>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</si>
  <si>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</si>
  <si>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</si>
  <si>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</si>
  <si>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</si>
  <si>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</si>
  <si>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</si>
  <si>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</si>
  <si>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</si>
  <si>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</si>
  <si>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</si>
  <si>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</si>
  <si>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</si>
  <si>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</si>
  <si>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</si>
  <si>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</si>
  <si>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</si>
  <si>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</si>
  <si>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</si>
  <si>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</si>
  <si>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</si>
  <si>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</si>
  <si>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</si>
  <si>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</si>
  <si>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</si>
  <si>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</si>
  <si>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</si>
  <si>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</si>
  <si>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</si>
  <si>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</si>
  <si>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</si>
  <si>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</si>
  <si>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</si>
  <si>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</si>
  <si>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</si>
  <si>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</si>
  <si>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</si>
  <si>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</si>
  <si>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</si>
  <si>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</si>
  <si>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</si>
  <si>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</si>
  <si>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</si>
  <si>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</si>
  <si>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</si>
  <si>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</si>
  <si>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</si>
  <si>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</si>
  <si>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</si>
  <si>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</si>
  <si>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</si>
  <si>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</si>
  <si>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</si>
  <si>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</si>
  <si>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</si>
  <si>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</si>
  <si>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</si>
  <si>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</si>
  <si>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</si>
  <si>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</si>
  <si>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</si>
  <si>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</si>
  <si>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</si>
  <si>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</si>
  <si>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</si>
  <si>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</si>
  <si>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</si>
  <si>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</si>
  <si>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</si>
  <si>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</si>
  <si>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</si>
  <si>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</si>
  <si>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</si>
  <si>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</si>
  <si>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</si>
  <si>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</si>
  <si>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</si>
  <si>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</si>
  <si>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</si>
  <si>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</si>
  <si>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</si>
  <si>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</si>
  <si>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</si>
  <si>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</si>
  <si>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</si>
  <si>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</si>
  <si>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</si>
  <si>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</si>
  <si>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</si>
  <si>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</si>
  <si>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</si>
  <si>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</si>
  <si>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</si>
  <si>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</si>
  <si>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</si>
  <si>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</si>
  <si>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</si>
  <si>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</si>
  <si>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</si>
  <si>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</si>
  <si>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</si>
  <si>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</si>
  <si>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</si>
  <si>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</si>
  <si>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</si>
  <si>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</si>
  <si>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</si>
  <si>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</si>
  <si>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</si>
  <si>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</si>
  <si>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</si>
  <si>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</si>
  <si>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</si>
  <si>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</si>
  <si>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</si>
  <si>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</si>
  <si>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</si>
  <si>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</si>
  <si>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</si>
  <si>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</si>
  <si>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</si>
  <si>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</si>
  <si>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</si>
  <si>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</si>
  <si>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</si>
  <si>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</si>
  <si>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</si>
  <si>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</si>
  <si>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</si>
  <si>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</si>
  <si>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</si>
  <si>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</si>
  <si>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</si>
  <si>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</si>
  <si>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</si>
  <si>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</si>
  <si>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</si>
  <si>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</si>
  <si>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</si>
  <si>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</si>
  <si>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</si>
  <si>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</si>
  <si>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</si>
  <si>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</si>
  <si>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</si>
  <si>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</si>
  <si>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</si>
  <si>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</si>
  <si>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</si>
  <si>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</si>
  <si>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</si>
  <si>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</si>
  <si>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</si>
  <si>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</si>
  <si>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</si>
  <si>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</si>
  <si>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</si>
  <si>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</si>
  <si>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</si>
  <si>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</si>
  <si>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</si>
  <si>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</si>
  <si>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</si>
  <si>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</si>
  <si>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</si>
  <si>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</si>
  <si>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</si>
  <si>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</si>
  <si>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</si>
  <si>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</si>
  <si>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</si>
  <si>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</si>
  <si>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</si>
  <si>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</si>
  <si>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</si>
  <si>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</si>
  <si>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</si>
  <si>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</si>
  <si>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</si>
  <si>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</si>
  <si>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</si>
  <si>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</si>
  <si>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</si>
  <si>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</si>
  <si>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</si>
  <si>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</si>
  <si>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</si>
  <si>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</si>
  <si>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</si>
  <si>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</si>
  <si>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</si>
  <si>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</si>
  <si>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</si>
  <si>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</si>
  <si>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</si>
  <si>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</si>
  <si>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</si>
  <si>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</si>
  <si>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</si>
  <si>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</si>
  <si>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</si>
  <si>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</si>
  <si>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</si>
  <si>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</si>
  <si>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</si>
  <si>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</si>
  <si>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</si>
  <si>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</si>
  <si>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</si>
  <si>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</si>
  <si>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</si>
  <si>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</si>
  <si>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</si>
  <si>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</si>
  <si>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</si>
  <si>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</si>
  <si>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</si>
  <si>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</si>
  <si>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</si>
  <si>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</si>
  <si>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</si>
  <si>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</si>
  <si>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</si>
  <si>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</si>
  <si>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</si>
  <si>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</si>
  <si>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</si>
  <si>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</si>
  <si>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</si>
  <si>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</si>
  <si>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</si>
  <si>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</si>
  <si>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</si>
  <si>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</si>
  <si>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</si>
  <si>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</si>
  <si>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</si>
  <si>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</si>
  <si>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</si>
  <si>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</si>
  <si>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</si>
  <si>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</si>
  <si>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</si>
  <si>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</si>
  <si>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</si>
  <si>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</si>
  <si>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</si>
  <si>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</si>
  <si>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</si>
  <si>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</si>
  <si>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</si>
  <si>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</si>
  <si>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</si>
  <si>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</si>
  <si>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</si>
  <si>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</si>
  <si>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</si>
  <si>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</si>
  <si>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</si>
  <si>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</si>
  <si>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</si>
  <si>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</si>
  <si>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</si>
  <si>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</si>
  <si>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</si>
  <si>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</si>
  <si>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</si>
  <si>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</si>
  <si>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</si>
  <si>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</si>
  <si>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</si>
  <si>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</si>
  <si>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</si>
  <si>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</si>
  <si>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</si>
  <si>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</si>
  <si>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</si>
  <si>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</si>
  <si>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</si>
  <si>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</si>
  <si>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</si>
  <si>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</si>
  <si>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</si>
  <si>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</si>
  <si>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</si>
  <si>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</si>
  <si>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</si>
  <si>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</si>
  <si>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</si>
  <si>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</si>
  <si>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</si>
  <si>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</si>
  <si>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</si>
  <si>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</si>
  <si>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</si>
  <si>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</si>
  <si>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</si>
  <si>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</si>
  <si>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</si>
  <si>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</si>
  <si>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</si>
  <si>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</si>
  <si>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</si>
  <si>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</si>
  <si>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</si>
  <si>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</si>
  <si>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</si>
  <si>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</si>
  <si>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</si>
  <si>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</si>
  <si>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</si>
  <si>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</si>
  <si>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</si>
  <si>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</si>
  <si>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</si>
  <si>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</si>
  <si>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</si>
  <si>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</si>
  <si>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</si>
  <si>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</si>
  <si>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</si>
  <si>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</si>
  <si>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</si>
  <si>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</si>
  <si>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</si>
  <si>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</si>
  <si>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</si>
  <si>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</si>
  <si>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</si>
  <si>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</si>
  <si>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</si>
  <si>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</si>
  <si>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</si>
  <si>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</si>
  <si>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</si>
  <si>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</si>
  <si>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</si>
  <si>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</si>
  <si>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</si>
  <si>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</si>
  <si>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</si>
  <si>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</si>
  <si>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</si>
  <si>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</si>
  <si>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</si>
  <si>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</si>
  <si>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</si>
  <si>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</si>
  <si>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</si>
  <si>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</si>
  <si>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</si>
  <si>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</si>
  <si>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</si>
  <si>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</si>
  <si>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</si>
  <si>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</si>
  <si>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</si>
  <si>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</si>
  <si>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</si>
  <si>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</si>
  <si>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</si>
  <si>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</si>
  <si>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</si>
  <si>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</si>
  <si>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</si>
  <si>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</si>
  <si>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</si>
  <si>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</si>
  <si>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</si>
  <si>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</si>
  <si>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</si>
  <si>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</si>
  <si>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</si>
  <si>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</si>
  <si>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</si>
  <si>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</si>
  <si>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</si>
  <si>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</si>
  <si>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</si>
  <si>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</si>
  <si>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</si>
  <si>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</si>
  <si>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</si>
  <si>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</si>
  <si>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</si>
  <si>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</si>
  <si>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</si>
  <si>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</si>
  <si>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</si>
  <si>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</si>
  <si>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</si>
  <si>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</si>
  <si>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</si>
  <si>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</si>
  <si>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</si>
  <si>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</si>
  <si>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</si>
  <si>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</si>
  <si>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</si>
  <si>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</si>
  <si>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</si>
  <si>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</si>
  <si>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</si>
  <si>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</si>
  <si>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</si>
  <si>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</si>
  <si>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</si>
  <si>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</si>
  <si>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</si>
  <si>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</si>
  <si>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</si>
  <si>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</si>
  <si>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</si>
  <si>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</si>
  <si>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</si>
  <si>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</si>
  <si>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</si>
  <si>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</si>
  <si>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</si>
  <si>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</si>
  <si>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</si>
  <si>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</si>
  <si>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</si>
  <si>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</si>
  <si>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</si>
  <si>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</si>
  <si>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</si>
  <si>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</si>
  <si>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</si>
  <si>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</si>
  <si>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</si>
  <si>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</si>
  <si>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</si>
  <si>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</si>
  <si>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</si>
  <si>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</si>
  <si>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</si>
  <si>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</si>
  <si>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</si>
  <si>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</si>
  <si>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</si>
  <si>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</si>
  <si>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</si>
  <si>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</si>
  <si>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</si>
  <si>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</si>
  <si>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</si>
  <si>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</si>
  <si>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</si>
  <si>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</si>
  <si>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</si>
  <si>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</si>
  <si>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</si>
  <si>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</si>
  <si>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</si>
  <si>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</si>
  <si>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</si>
  <si>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</si>
  <si>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</si>
  <si>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</si>
  <si>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</si>
  <si>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</si>
  <si>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</si>
  <si>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</si>
  <si>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</si>
  <si>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</si>
  <si>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</si>
  <si>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</si>
  <si>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</si>
  <si>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</si>
  <si>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</si>
  <si>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</si>
  <si>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</si>
  <si>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</si>
  <si>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</si>
  <si>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</si>
  <si>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</si>
  <si>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</si>
  <si>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</si>
  <si>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</si>
  <si>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</si>
  <si>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</si>
  <si>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</si>
  <si>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</si>
  <si>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</si>
  <si>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</si>
  <si>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</si>
  <si>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</si>
  <si>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</si>
  <si>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</si>
  <si>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</si>
  <si>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</si>
  <si>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</si>
  <si>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</si>
  <si>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</si>
  <si>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</si>
  <si>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</si>
  <si>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</si>
  <si>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</si>
  <si>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</si>
  <si>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</si>
  <si>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</si>
  <si>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</si>
  <si>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</si>
  <si>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</si>
  <si>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</si>
  <si>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</si>
  <si>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</si>
  <si>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</si>
  <si>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</si>
  <si>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</si>
  <si>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</si>
  <si>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</si>
  <si>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</si>
  <si>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</si>
  <si>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</si>
  <si>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</si>
  <si>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</si>
  <si>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</si>
  <si>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</si>
  <si>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</si>
  <si>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</si>
  <si>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</si>
  <si>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</si>
  <si>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</si>
  <si>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</si>
  <si>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</si>
  <si>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</si>
  <si>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</si>
  <si>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</si>
  <si>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</si>
  <si>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</si>
  <si>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</si>
  <si>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</si>
  <si>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</si>
  <si>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</si>
  <si>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</si>
  <si>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</si>
  <si>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</si>
  <si>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</si>
  <si>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</si>
  <si>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</si>
  <si>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</si>
  <si>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</si>
  <si>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</si>
  <si>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</si>
  <si>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</si>
  <si>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</si>
  <si>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</si>
  <si>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</si>
  <si>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</si>
  <si>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</si>
  <si>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</si>
  <si>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</si>
  <si>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</si>
  <si>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</si>
  <si>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</si>
  <si>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</si>
  <si>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</si>
  <si>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</si>
  <si>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</si>
  <si>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</si>
  <si>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</si>
  <si>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</si>
  <si>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</si>
  <si>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</si>
  <si>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</si>
  <si>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</si>
  <si>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</si>
  <si>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</si>
  <si>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</si>
  <si>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</si>
  <si>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</si>
  <si>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</si>
  <si>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</si>
  <si>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</si>
  <si>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</si>
  <si>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</si>
  <si>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</si>
  <si>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</si>
  <si>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</si>
  <si>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</si>
  <si>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</si>
  <si>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</si>
  <si>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</si>
  <si>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</si>
  <si>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</si>
  <si>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</si>
  <si>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</si>
  <si>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</si>
  <si>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</si>
  <si>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</si>
  <si>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</si>
  <si>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</si>
  <si>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</si>
  <si>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</si>
  <si>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</si>
  <si>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</si>
  <si>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</si>
  <si>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</si>
  <si>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</si>
  <si>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</si>
  <si>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</si>
  <si>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</si>
  <si>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</si>
  <si>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</si>
  <si>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</si>
  <si>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</si>
  <si>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</si>
  <si>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</si>
  <si>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</si>
  <si>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</si>
  <si>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</si>
  <si>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</si>
  <si>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</si>
  <si>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</si>
  <si>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</si>
  <si>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</si>
  <si>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</si>
  <si>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</si>
  <si>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</si>
  <si>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</si>
  <si>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</si>
  <si>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</si>
  <si>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</si>
  <si>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</si>
  <si>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</si>
  <si>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</si>
  <si>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</si>
  <si>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</si>
  <si>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</si>
  <si>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</si>
  <si>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</si>
  <si>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</si>
  <si>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</si>
  <si>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</si>
  <si>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</si>
  <si>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</si>
  <si>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</si>
  <si>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</si>
  <si>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</si>
  <si>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</si>
  <si>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</si>
  <si>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</si>
  <si>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</si>
  <si>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</si>
  <si>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</si>
  <si>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</si>
  <si>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</si>
  <si>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</si>
  <si>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</si>
  <si>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</si>
  <si>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</si>
  <si>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</si>
  <si>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</si>
  <si>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</si>
  <si>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</si>
  <si>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</si>
  <si>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</si>
  <si>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</si>
  <si>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</si>
  <si>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</si>
  <si>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</si>
  <si>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</si>
  <si>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</si>
  <si>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</si>
  <si>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</si>
  <si>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</si>
  <si>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</si>
  <si>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</si>
  <si>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</si>
  <si>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</si>
  <si>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</si>
  <si>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</si>
  <si>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</si>
  <si>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</si>
  <si>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</si>
  <si>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</si>
  <si>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</si>
  <si>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</si>
  <si>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</si>
  <si>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</si>
  <si>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</si>
  <si>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</si>
  <si>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</si>
  <si>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</si>
  <si>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</si>
  <si>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</si>
  <si>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</si>
  <si>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</si>
  <si>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</si>
  <si>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</si>
  <si>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</si>
  <si>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</si>
  <si>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</si>
  <si>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</si>
  <si>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</si>
  <si>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</si>
  <si>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</si>
  <si>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</si>
  <si>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</si>
  <si>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</si>
  <si>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</si>
  <si>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</si>
  <si>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</si>
  <si>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</si>
  <si>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</si>
  <si>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</si>
  <si>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</si>
  <si>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</si>
  <si>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</si>
  <si>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</si>
  <si>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</si>
  <si>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</si>
  <si>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</si>
  <si>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</si>
  <si>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</si>
  <si>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</si>
  <si>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</si>
  <si>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</si>
  <si>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</si>
  <si>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</si>
  <si>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</si>
  <si>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</si>
  <si>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</si>
  <si>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</si>
  <si>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</si>
  <si>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</si>
  <si>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</si>
  <si>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</si>
  <si>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</si>
  <si>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</si>
  <si>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</si>
  <si>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</si>
  <si>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</si>
  <si>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</si>
  <si>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</si>
  <si>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</si>
  <si>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</si>
  <si>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</si>
  <si>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</si>
  <si>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</si>
  <si>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</si>
  <si>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</si>
  <si>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</si>
  <si>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</si>
  <si>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</si>
  <si>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</si>
  <si>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</si>
  <si>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</si>
  <si>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</si>
  <si>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</si>
  <si>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</si>
  <si>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</si>
  <si>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</si>
  <si>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</si>
  <si>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</si>
  <si>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</si>
  <si>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</si>
  <si>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</si>
  <si>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</si>
  <si>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</si>
  <si>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</si>
  <si>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</si>
  <si>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</si>
  <si>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</si>
  <si>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</si>
  <si>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</si>
  <si>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</si>
  <si>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</si>
  <si>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</si>
  <si>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</si>
  <si>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</si>
  <si>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</si>
  <si>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</si>
  <si>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</si>
  <si>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</si>
  <si>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</si>
  <si>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</si>
  <si>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</si>
  <si>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</si>
  <si>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</si>
  <si>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</si>
  <si>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</si>
  <si>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</si>
  <si>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</si>
  <si>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</si>
  <si>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</si>
  <si>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</si>
  <si>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</si>
  <si>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</si>
  <si>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</si>
  <si>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</si>
  <si>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</si>
  <si>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</si>
  <si>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</si>
  <si>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</si>
  <si>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</si>
  <si>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</si>
  <si>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</si>
  <si>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</si>
  <si>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</si>
  <si>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</si>
  <si>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</si>
  <si>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</si>
  <si>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</si>
  <si>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</si>
  <si>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</si>
  <si>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</si>
  <si>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</si>
  <si>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</si>
  <si>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</si>
  <si>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</si>
  <si>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</si>
  <si>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</si>
  <si>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</si>
  <si>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</si>
  <si>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</si>
  <si>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</si>
  <si>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</si>
  <si>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</si>
  <si>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</si>
  <si>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</si>
  <si>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</si>
  <si>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</si>
  <si>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</si>
  <si>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</si>
  <si>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</si>
  <si>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</si>
  <si>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</si>
  <si>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</si>
  <si>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</si>
  <si>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</si>
  <si>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</si>
  <si>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</si>
  <si>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</si>
  <si>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</si>
  <si>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</si>
  <si>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</si>
  <si>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</si>
  <si>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</si>
  <si>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</si>
  <si>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</si>
  <si>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</si>
  <si>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</si>
  <si>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</si>
  <si>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</si>
  <si>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</si>
  <si>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</si>
  <si>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</si>
  <si>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</si>
  <si>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</si>
  <si>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</si>
  <si>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</si>
  <si>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</si>
  <si>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</si>
  <si>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</si>
  <si>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</si>
  <si>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</si>
  <si>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</si>
  <si>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</si>
  <si>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</si>
  <si>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</si>
  <si>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</si>
  <si>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</si>
  <si>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</si>
  <si>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</si>
  <si>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</si>
  <si>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</si>
  <si>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</si>
  <si>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</si>
  <si>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</si>
  <si>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</si>
  <si>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</si>
  <si>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</si>
  <si>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</si>
  <si>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</si>
  <si>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</si>
  <si>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</si>
  <si>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</si>
  <si>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</si>
  <si>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</si>
  <si>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</si>
  <si>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</si>
  <si>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</si>
  <si>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</si>
  <si>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</si>
  <si>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</si>
  <si>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</si>
  <si>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</si>
  <si>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</si>
  <si>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</si>
  <si>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</si>
  <si>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</si>
  <si>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</si>
  <si>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</si>
  <si>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</si>
  <si>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</si>
  <si>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</si>
  <si>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</si>
  <si>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</si>
  <si>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</si>
  <si>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</si>
  <si>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</si>
  <si>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</si>
  <si>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</si>
  <si>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</si>
  <si>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</si>
  <si>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</si>
  <si>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</si>
  <si>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</si>
  <si>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</si>
  <si>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</si>
  <si>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</si>
  <si>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</si>
  <si>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</si>
  <si>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</si>
  <si>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</si>
  <si>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</si>
  <si>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</si>
  <si>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</si>
  <si>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</si>
  <si>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</si>
  <si>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</si>
  <si>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</si>
  <si>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</si>
  <si>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</si>
  <si>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</si>
  <si>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</si>
  <si>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</si>
  <si>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</si>
  <si>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</si>
  <si>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</si>
  <si>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</si>
  <si>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</si>
  <si>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</si>
  <si>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</si>
  <si>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</si>
  <si>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</si>
  <si>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</si>
  <si>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</si>
  <si>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</si>
  <si>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</si>
  <si>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</si>
  <si>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</si>
  <si>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</si>
  <si>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</si>
  <si>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</si>
  <si>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</si>
  <si>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</si>
  <si>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</si>
  <si>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</si>
  <si>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</si>
  <si>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</si>
  <si>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</si>
  <si>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</si>
  <si>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</si>
  <si>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</si>
  <si>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</si>
  <si>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</si>
  <si>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</si>
  <si>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</si>
  <si>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</si>
  <si>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</si>
  <si>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</si>
  <si>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</si>
  <si>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</si>
  <si>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</si>
  <si>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</si>
  <si>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</si>
  <si>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</si>
  <si>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</si>
  <si>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</si>
  <si>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</si>
  <si>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</si>
  <si>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</si>
  <si>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</si>
  <si>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</si>
  <si>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</si>
  <si>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</si>
  <si>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</si>
  <si>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</si>
  <si>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</si>
  <si>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</si>
  <si>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</si>
  <si>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</si>
  <si>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</si>
  <si>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</si>
  <si>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</si>
  <si>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</si>
  <si>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</si>
  <si>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</si>
  <si>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</si>
  <si>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</si>
  <si>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</si>
  <si>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</si>
  <si>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</si>
  <si>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</si>
  <si>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</si>
  <si>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</si>
  <si>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</si>
  <si>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</si>
  <si>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</si>
  <si>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</si>
  <si>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</si>
  <si>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</si>
  <si>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</si>
  <si>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</si>
  <si>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</si>
  <si>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</si>
  <si>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</si>
  <si>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</si>
  <si>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</si>
  <si>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</si>
  <si>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</si>
  <si>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</si>
  <si>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</si>
  <si>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</si>
  <si>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</si>
  <si>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</si>
  <si>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</si>
  <si>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</si>
  <si>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</si>
  <si>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</si>
  <si>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</si>
  <si>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</si>
  <si>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</si>
  <si>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</si>
  <si>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</si>
  <si>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</si>
  <si>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</si>
  <si>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</si>
  <si>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</si>
  <si>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</si>
  <si>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</si>
  <si>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</si>
  <si>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</si>
  <si>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</si>
  <si>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</si>
  <si>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</si>
  <si>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</si>
  <si>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</si>
  <si>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</si>
  <si>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</si>
  <si>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</si>
  <si>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</si>
  <si>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</si>
  <si>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</si>
  <si>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</si>
  <si>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</si>
  <si>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</si>
  <si>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</si>
  <si>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</si>
  <si>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</si>
  <si>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</si>
  <si>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</si>
  <si>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</si>
  <si>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</si>
  <si>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</si>
  <si>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</si>
  <si>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</si>
  <si>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</si>
  <si>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</si>
  <si>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</si>
  <si>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</si>
  <si>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</si>
  <si>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</si>
  <si>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</si>
  <si>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</si>
  <si>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</si>
  <si>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</si>
  <si>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</si>
  <si>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</si>
  <si>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</si>
  <si>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</si>
  <si>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</si>
  <si>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</si>
  <si>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</si>
  <si>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</si>
  <si>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</si>
  <si>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</si>
  <si>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</si>
  <si>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</si>
  <si>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</si>
  <si>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</si>
  <si>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</si>
  <si>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</si>
  <si>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</si>
  <si>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</si>
  <si>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</si>
  <si>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</si>
  <si>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</si>
  <si>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</si>
  <si>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</si>
  <si>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</si>
  <si>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</si>
  <si>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</si>
  <si>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</si>
  <si>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</si>
  <si>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</si>
  <si>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</si>
  <si>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</si>
  <si>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</si>
  <si>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</si>
  <si>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</si>
  <si>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</si>
  <si>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</si>
  <si>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</si>
  <si>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</si>
  <si>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</si>
  <si>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</si>
  <si>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</si>
  <si>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</si>
  <si>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</si>
  <si>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</si>
  <si>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</si>
  <si>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</si>
  <si>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</si>
  <si>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</si>
  <si>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</si>
  <si>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</si>
  <si>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</si>
  <si>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</si>
  <si>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</si>
  <si>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</si>
  <si>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</si>
  <si>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</si>
  <si>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</si>
  <si>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</si>
  <si>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</si>
  <si>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</si>
  <si>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</si>
  <si>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</si>
  <si>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</si>
  <si>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</si>
  <si>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</si>
  <si>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</si>
  <si>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</si>
  <si>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</si>
  <si>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</si>
  <si>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</si>
  <si>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</si>
  <si>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</si>
  <si>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</si>
  <si>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</si>
  <si>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</si>
  <si>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</si>
  <si>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</si>
  <si>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</si>
  <si>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</si>
  <si>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</si>
  <si>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</si>
  <si>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</si>
  <si>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</si>
  <si>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</si>
  <si>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</si>
  <si>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</si>
  <si>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</si>
  <si>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</si>
  <si>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</si>
  <si>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</si>
  <si>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</si>
  <si>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</si>
  <si>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</si>
  <si>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</si>
  <si>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</si>
  <si>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</si>
  <si>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</si>
  <si>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</si>
  <si>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</si>
  <si>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</si>
  <si>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</si>
  <si>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</si>
  <si>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</si>
  <si>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</si>
  <si>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</si>
  <si>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</si>
  <si>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</si>
  <si>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</si>
  <si>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</si>
  <si>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</si>
  <si>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</si>
  <si>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</si>
  <si>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</si>
  <si>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</si>
  <si>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</si>
  <si>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</si>
  <si>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</si>
  <si>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</si>
  <si>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</si>
  <si>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</si>
  <si>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</si>
  <si>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</si>
  <si>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</si>
  <si>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</si>
  <si>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</si>
  <si>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</si>
  <si>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</si>
  <si>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</si>
  <si>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</si>
  <si>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</si>
  <si>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</si>
  <si>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</si>
  <si>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</si>
  <si>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</si>
  <si>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</si>
  <si>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</si>
  <si>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</si>
  <si>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</si>
  <si>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</si>
  <si>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</si>
  <si>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</si>
  <si>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</si>
  <si>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</si>
  <si>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</si>
  <si>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</si>
  <si>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</si>
  <si>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</si>
  <si>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</si>
  <si>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</si>
  <si>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</si>
  <si>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</si>
  <si>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</si>
  <si>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</si>
  <si>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</si>
  <si>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</si>
  <si>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</si>
  <si>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</si>
  <si>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</si>
  <si>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</si>
  <si>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</si>
  <si>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</si>
  <si>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</si>
  <si>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</si>
  <si>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</si>
  <si>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</si>
  <si>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</si>
  <si>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</si>
  <si>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</si>
  <si>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</si>
  <si>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</si>
  <si>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</si>
  <si>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</si>
  <si>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</si>
  <si>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</si>
  <si>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</si>
  <si>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</si>
  <si>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</si>
  <si>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</si>
  <si>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</si>
  <si>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</si>
  <si>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</si>
  <si>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</si>
  <si>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</si>
  <si>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</si>
  <si>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</si>
  <si>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</si>
  <si>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</si>
  <si>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</si>
  <si>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</si>
  <si>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</si>
  <si>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</si>
  <si>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</si>
  <si>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</si>
  <si>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</si>
  <si>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</si>
  <si>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</si>
  <si>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</si>
  <si>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</si>
  <si>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</si>
  <si>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</si>
  <si>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</si>
  <si>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</si>
  <si>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</si>
  <si>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</si>
  <si>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</si>
  <si>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</si>
  <si>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</si>
  <si>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</si>
  <si>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</si>
  <si>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</si>
  <si>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</si>
  <si>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</si>
  <si>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</si>
  <si>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</si>
  <si>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</si>
  <si>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</si>
  <si>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</si>
  <si>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</si>
  <si>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</si>
  <si>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</si>
  <si>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</si>
  <si>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</si>
  <si>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</si>
  <si>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</si>
  <si>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</si>
  <si>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</si>
  <si>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</si>
  <si>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</si>
  <si>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</si>
  <si>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</si>
  <si>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</si>
  <si>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</si>
  <si>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</si>
  <si>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</si>
  <si>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</si>
  <si>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</si>
  <si>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</si>
  <si>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</si>
  <si>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</si>
  <si>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</si>
  <si>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</si>
  <si>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</si>
  <si>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</si>
  <si>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</si>
  <si>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</si>
  <si>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</si>
  <si>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</si>
  <si>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</si>
  <si>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</si>
  <si>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</si>
  <si>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</si>
  <si>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</si>
  <si>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</si>
  <si>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</si>
  <si>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</si>
  <si>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</si>
  <si>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</si>
  <si>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</si>
  <si>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</si>
  <si>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</si>
  <si>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</si>
  <si>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</si>
  <si>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</si>
  <si>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</si>
  <si>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</si>
  <si>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</si>
  <si>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</si>
  <si>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</si>
  <si>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</si>
  <si>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</si>
  <si>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</si>
  <si>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</si>
  <si>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</si>
  <si>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</si>
  <si>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</si>
  <si>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</si>
  <si>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</si>
  <si>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</si>
  <si>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</si>
  <si>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</si>
  <si>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</si>
  <si>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</si>
  <si>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</si>
  <si>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</si>
  <si>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</si>
  <si>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</si>
  <si>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</si>
  <si>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</si>
  <si>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</si>
  <si>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</si>
  <si>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</si>
  <si>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</si>
  <si>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</si>
  <si>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</si>
  <si>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</si>
  <si>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</si>
  <si>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</si>
  <si>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</si>
  <si>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</si>
  <si>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</si>
  <si>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</si>
  <si>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</si>
  <si>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</si>
  <si>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</si>
  <si>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</si>
  <si>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</si>
  <si>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</si>
  <si>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</si>
  <si>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</si>
  <si>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</si>
  <si>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</si>
  <si>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</si>
  <si>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</si>
  <si>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</si>
  <si>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</si>
  <si>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</si>
  <si>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</si>
  <si>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</si>
  <si>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</si>
  <si>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</si>
  <si>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</si>
  <si>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</si>
  <si>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</si>
  <si>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</si>
  <si>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</si>
  <si>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</si>
  <si>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</si>
  <si>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</si>
  <si>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</si>
  <si>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</si>
  <si>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</si>
  <si>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</si>
  <si>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</si>
  <si>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</si>
  <si>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</si>
  <si>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</si>
  <si>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</si>
  <si>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</si>
  <si>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</si>
  <si>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</si>
  <si>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</si>
  <si>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</si>
  <si>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</si>
  <si>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</si>
  <si>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</si>
  <si>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</si>
  <si>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</si>
  <si>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</si>
  <si>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</si>
  <si>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</si>
  <si>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</si>
  <si>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</si>
  <si>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</si>
  <si>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</si>
  <si>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</si>
  <si>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</si>
  <si>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</si>
  <si>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</si>
  <si>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</si>
  <si>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</si>
  <si>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</si>
  <si>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</si>
  <si>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</si>
  <si>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</si>
  <si>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</si>
  <si>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</si>
  <si>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</si>
  <si>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</si>
  <si>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</si>
  <si>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</si>
  <si>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</si>
  <si>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</si>
  <si>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</si>
  <si>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</si>
  <si>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</si>
  <si>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</si>
  <si>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</si>
  <si>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</si>
  <si>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</si>
  <si>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</si>
  <si>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</si>
  <si>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</si>
  <si>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</si>
  <si>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</si>
  <si>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</si>
  <si>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</si>
  <si>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</si>
  <si>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</si>
  <si>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</si>
  <si>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</si>
  <si>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</si>
  <si>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</si>
  <si>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</si>
  <si>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</si>
  <si>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</si>
  <si>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</si>
  <si>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</si>
  <si>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</si>
  <si>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</si>
  <si>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</si>
  <si>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</si>
  <si>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</si>
  <si>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</si>
  <si>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</si>
  <si>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</si>
  <si>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</si>
  <si>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</si>
  <si>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</si>
  <si>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</si>
  <si>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</si>
  <si>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</si>
  <si>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</si>
  <si>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</si>
  <si>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</si>
  <si>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</si>
  <si>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</si>
  <si>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</si>
  <si>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</si>
  <si>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</si>
  <si>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</si>
  <si>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</si>
  <si>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</si>
  <si>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</si>
  <si>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</si>
  <si>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</si>
  <si>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</si>
  <si>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</si>
  <si>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</si>
  <si>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</si>
  <si>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</si>
  <si>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</si>
  <si>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</si>
  <si>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</si>
  <si>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</si>
  <si>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</si>
  <si>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</si>
  <si>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</si>
  <si>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</si>
  <si>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</si>
  <si>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</si>
  <si>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</si>
  <si>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</si>
  <si>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</si>
  <si>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</si>
  <si>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</si>
  <si>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</si>
  <si>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</si>
  <si>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</si>
  <si>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</si>
  <si>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</si>
  <si>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</si>
  <si>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</si>
  <si>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</si>
  <si>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</si>
  <si>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</si>
  <si>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</si>
  <si>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</si>
  <si>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</si>
  <si>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</si>
  <si>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</si>
  <si>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</si>
  <si>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</si>
  <si>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</si>
  <si>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</si>
  <si>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</si>
  <si>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</si>
  <si>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</si>
  <si>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</si>
  <si>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</si>
  <si>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</si>
  <si>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</si>
  <si>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</si>
  <si>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</si>
  <si>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</si>
  <si>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</si>
  <si>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</si>
  <si>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</si>
  <si>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</si>
  <si>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</si>
  <si>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</si>
  <si>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</si>
  <si>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</si>
  <si>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</si>
  <si>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</si>
  <si>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</si>
  <si>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</si>
  <si>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</si>
  <si>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</si>
  <si>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</si>
  <si>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</si>
  <si>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</si>
  <si>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</si>
  <si>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</si>
  <si>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</si>
  <si>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</si>
  <si>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</si>
  <si>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</si>
  <si>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</si>
  <si>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</si>
  <si>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</si>
  <si>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</si>
  <si>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</si>
  <si>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</si>
  <si>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</si>
  <si>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</si>
  <si>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</si>
  <si>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</si>
  <si>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</si>
  <si>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</si>
  <si>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</si>
  <si>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</si>
  <si>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</si>
  <si>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</si>
  <si>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</si>
  <si>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</si>
  <si>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</si>
  <si>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</si>
  <si>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</si>
  <si>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</si>
  <si>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</si>
  <si>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</si>
  <si>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</si>
  <si>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</si>
  <si>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</si>
  <si>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</si>
  <si>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</si>
  <si>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</si>
  <si>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</si>
  <si>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</si>
  <si>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</si>
  <si>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</si>
  <si>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</si>
  <si>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</si>
  <si>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</si>
  <si>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</si>
  <si>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</si>
  <si>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</si>
  <si>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</si>
  <si>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</si>
  <si>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</si>
  <si>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</si>
  <si>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</si>
  <si>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</si>
  <si>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</si>
  <si>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</si>
  <si>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</si>
  <si>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</si>
  <si>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</si>
  <si>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</si>
  <si>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</si>
  <si>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</si>
  <si>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</si>
  <si>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</si>
  <si>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</si>
  <si>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</si>
  <si>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</si>
  <si>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</si>
  <si>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</si>
  <si>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</si>
  <si>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</si>
  <si>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</si>
  <si>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</si>
  <si>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</si>
  <si>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</si>
  <si>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</si>
  <si>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</si>
  <si>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</si>
  <si>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</si>
  <si>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</si>
  <si>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</si>
  <si>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</si>
  <si>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</si>
  <si>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</si>
  <si>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</si>
  <si>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</si>
  <si>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</si>
  <si>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</si>
  <si>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</si>
  <si>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</si>
  <si>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</si>
  <si>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</si>
  <si>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</si>
  <si>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</si>
  <si>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</si>
  <si>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</si>
  <si>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</si>
  <si>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</si>
  <si>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</si>
  <si>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</si>
  <si>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</si>
  <si>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</si>
  <si>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</si>
  <si>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</si>
  <si>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</si>
  <si>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</si>
  <si>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</si>
  <si>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</si>
  <si>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</si>
  <si>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</si>
  <si>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</si>
  <si>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</si>
  <si>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</si>
  <si>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</si>
  <si>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</si>
  <si>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</si>
  <si>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</si>
  <si>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</si>
  <si>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</si>
  <si>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</si>
  <si>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</si>
  <si>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</si>
  <si>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</si>
  <si>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</si>
  <si>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</si>
  <si>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</si>
  <si>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</si>
  <si>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</si>
  <si>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</si>
  <si>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</si>
  <si>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</si>
  <si>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</si>
  <si>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</si>
  <si>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</si>
  <si>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</si>
  <si>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</si>
  <si>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</si>
  <si>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</si>
  <si>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</si>
  <si>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</si>
  <si>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</si>
  <si>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</si>
  <si>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</si>
  <si>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</si>
  <si>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</si>
  <si>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</si>
  <si>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</si>
  <si>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</si>
  <si>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</si>
  <si>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</si>
  <si>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</si>
  <si>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</si>
  <si>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</si>
  <si>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</si>
  <si>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</si>
  <si>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</si>
  <si>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</si>
  <si>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</si>
  <si>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</si>
  <si>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</si>
  <si>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</si>
  <si>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</si>
  <si>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</si>
  <si>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</si>
  <si>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</si>
  <si>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</si>
  <si>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</si>
  <si>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</si>
  <si>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</si>
  <si>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</si>
  <si>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</si>
  <si>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</si>
  <si>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</si>
  <si>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</si>
  <si>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</si>
  <si>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</si>
  <si>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</si>
  <si>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</si>
  <si>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</si>
  <si>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</si>
  <si>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</si>
  <si>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</si>
  <si>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</si>
  <si>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</si>
  <si>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</si>
  <si>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</si>
  <si>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</si>
  <si>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</si>
  <si>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</si>
  <si>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</si>
  <si>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</si>
  <si>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</si>
  <si>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</si>
  <si>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</si>
  <si>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</si>
  <si>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</si>
  <si>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</si>
  <si>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</si>
  <si>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</si>
  <si>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</si>
  <si>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</si>
  <si>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</si>
  <si>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</si>
  <si>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</si>
  <si>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</si>
  <si>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</si>
  <si>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</si>
  <si>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</si>
  <si>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</si>
  <si>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</si>
  <si>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</si>
  <si>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</si>
  <si>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</si>
  <si>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</si>
  <si>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</si>
  <si>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</si>
  <si>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</si>
  <si>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</si>
  <si>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</si>
  <si>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</si>
  <si>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</si>
  <si>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</si>
  <si>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</si>
  <si>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</si>
  <si>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</si>
  <si>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</si>
  <si>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</si>
  <si>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</si>
  <si>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</si>
  <si>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</si>
  <si>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</si>
  <si>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</si>
  <si>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</si>
  <si>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</si>
  <si>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</si>
  <si>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</si>
  <si>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</si>
  <si>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</si>
  <si>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</si>
  <si>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</si>
  <si>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</si>
  <si>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</si>
  <si>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</si>
  <si>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</si>
  <si>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</si>
  <si>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</si>
  <si>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</si>
  <si>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</si>
  <si>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</si>
  <si>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</si>
  <si>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</si>
  <si>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</si>
  <si>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</si>
  <si>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</si>
  <si>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</si>
  <si>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</si>
  <si>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</si>
  <si>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</si>
  <si>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</si>
  <si>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</si>
  <si>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</si>
  <si>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</si>
  <si>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</si>
  <si>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</si>
  <si>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</si>
  <si>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</si>
  <si>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</si>
  <si>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</si>
  <si>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</si>
  <si>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</si>
  <si>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</si>
  <si>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</si>
  <si>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</si>
  <si>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</si>
  <si>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</si>
  <si>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</si>
  <si>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</si>
  <si>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</si>
  <si>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</si>
  <si>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</si>
  <si>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</si>
  <si>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</si>
  <si>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</si>
  <si>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</si>
  <si>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</si>
  <si>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</si>
  <si>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</si>
  <si>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</si>
  <si>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</si>
  <si>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</si>
  <si>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</si>
  <si>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</si>
  <si>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</si>
  <si>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</si>
  <si>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</si>
  <si>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</si>
  <si>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</si>
  <si>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</si>
  <si>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</si>
  <si>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</si>
  <si>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</si>
  <si>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</si>
  <si>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</si>
  <si>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</si>
  <si>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</si>
  <si>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</si>
  <si>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</si>
  <si>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</si>
  <si>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</si>
  <si>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</si>
  <si>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</si>
  <si>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</si>
  <si>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</si>
  <si>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</si>
  <si>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</si>
  <si>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</si>
  <si>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</si>
  <si>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</si>
  <si>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</si>
  <si>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</si>
  <si>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</si>
  <si>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</si>
  <si>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</si>
  <si>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</si>
  <si>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</si>
  <si>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</si>
  <si>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</si>
  <si>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</si>
  <si>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</si>
  <si>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</si>
  <si>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</si>
  <si>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</si>
  <si>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</si>
  <si>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</si>
  <si>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</si>
  <si>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</si>
  <si>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</si>
  <si>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</si>
  <si>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</si>
  <si>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</si>
  <si>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</si>
  <si>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</si>
  <si>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</si>
  <si>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</si>
  <si>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</si>
  <si>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</si>
  <si>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</si>
  <si>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</si>
  <si>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</si>
  <si>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</si>
  <si>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</si>
  <si>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</si>
  <si>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</si>
  <si>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</si>
  <si>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</si>
  <si>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</si>
  <si>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</si>
  <si>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</si>
  <si>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</si>
  <si>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</si>
  <si>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</si>
  <si>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</si>
  <si>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</si>
  <si>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</si>
  <si>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</si>
  <si>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</si>
  <si>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</si>
  <si>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</si>
  <si>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</si>
  <si>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</si>
  <si>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</si>
  <si>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</si>
  <si>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</si>
  <si>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</si>
  <si>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</si>
  <si>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</si>
  <si>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</si>
  <si>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</si>
  <si>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</si>
  <si>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</si>
  <si>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</si>
  <si>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</si>
  <si>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</si>
  <si>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</si>
  <si>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</si>
  <si>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</si>
  <si>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</si>
  <si>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</si>
  <si>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</si>
  <si>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</si>
  <si>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</si>
  <si>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</si>
  <si>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</si>
  <si>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</si>
  <si>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</si>
  <si>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</si>
  <si>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</si>
  <si>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</si>
  <si>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</si>
  <si>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</si>
  <si>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</si>
  <si>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</si>
  <si>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</si>
  <si>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</si>
  <si>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</si>
  <si>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</si>
  <si>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</si>
  <si>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</si>
  <si>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</si>
  <si>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</si>
  <si>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</si>
  <si>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</si>
  <si>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</si>
  <si>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</si>
  <si>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</si>
  <si>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</si>
  <si>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</si>
  <si>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</si>
  <si>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</si>
  <si>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</si>
  <si>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</si>
  <si>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</si>
  <si>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</si>
  <si>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</si>
  <si>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</si>
  <si>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</si>
  <si>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</si>
  <si>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</si>
  <si>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</si>
  <si>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</si>
  <si>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</si>
  <si>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</si>
  <si>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</si>
  <si>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</si>
  <si>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</si>
  <si>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</si>
  <si>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</si>
  <si>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</si>
  <si>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</si>
  <si>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</si>
  <si>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</si>
  <si>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</si>
  <si>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</si>
  <si>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</si>
  <si>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</si>
  <si>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</si>
  <si>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</si>
  <si>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</si>
  <si>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</si>
  <si>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</si>
  <si>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</si>
  <si>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</si>
  <si>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</si>
  <si>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</si>
  <si>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</si>
  <si>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</si>
  <si>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</si>
  <si>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</si>
  <si>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</si>
  <si>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</si>
  <si>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</si>
  <si>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</si>
  <si>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</si>
  <si>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</si>
  <si>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</si>
  <si>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</si>
  <si>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</si>
  <si>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</si>
  <si>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</si>
  <si>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</si>
  <si>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</si>
  <si>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</si>
  <si>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</si>
  <si>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</si>
  <si>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</si>
  <si>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</si>
  <si>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</si>
  <si>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</si>
  <si>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</si>
  <si>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</si>
  <si>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</si>
  <si>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</si>
  <si>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</si>
  <si>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</si>
  <si>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</si>
  <si>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</si>
  <si>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</si>
  <si>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</si>
  <si>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</si>
  <si>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</si>
  <si>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</si>
  <si>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</si>
  <si>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</si>
  <si>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</si>
  <si>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</si>
  <si>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</si>
  <si>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</si>
  <si>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</si>
  <si>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</si>
  <si>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</si>
  <si>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</si>
  <si>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</si>
  <si>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</si>
  <si>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</si>
  <si>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</si>
  <si>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</si>
  <si>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</si>
  <si>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</si>
  <si>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</si>
  <si>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</si>
  <si>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</si>
  <si>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</si>
  <si>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</si>
  <si>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</si>
  <si>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</si>
  <si>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</si>
  <si>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</si>
  <si>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</si>
  <si>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</si>
  <si>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</si>
  <si>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</si>
  <si>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</si>
  <si>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</si>
  <si>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</si>
  <si>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</si>
  <si>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</si>
  <si>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</si>
  <si>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</si>
  <si>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</si>
  <si>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</si>
  <si>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</si>
  <si>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</si>
  <si>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</si>
  <si>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</si>
  <si>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</si>
  <si>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</si>
  <si>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</si>
  <si>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</si>
  <si>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</si>
  <si>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</si>
  <si>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</si>
  <si>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</si>
  <si>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</si>
  <si>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</si>
  <si>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</si>
  <si>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</si>
  <si>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</si>
  <si>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</si>
  <si>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</si>
  <si>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</si>
  <si>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</si>
  <si>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</si>
  <si>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</si>
  <si>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</si>
  <si>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</si>
  <si>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</si>
  <si>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</si>
  <si>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</si>
  <si>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</si>
  <si>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</si>
  <si>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</si>
  <si>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</si>
  <si>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</si>
  <si>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</si>
  <si>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</si>
  <si>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</si>
  <si>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</si>
  <si>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</si>
  <si>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</si>
  <si>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</si>
  <si>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</si>
  <si>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</si>
  <si>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</si>
  <si>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</si>
  <si>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</si>
  <si>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</si>
  <si>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</si>
  <si>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</si>
  <si>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</si>
  <si>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</si>
  <si>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</si>
  <si>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</si>
  <si>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</si>
  <si>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</si>
  <si>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</si>
  <si>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</si>
  <si>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</si>
  <si>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</si>
  <si>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</si>
  <si>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</si>
  <si>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</si>
  <si>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</si>
  <si>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</si>
  <si>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</si>
  <si>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</si>
  <si>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</si>
  <si>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</si>
  <si>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</si>
  <si>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</si>
  <si>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</si>
  <si>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</si>
  <si>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</si>
  <si>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</si>
  <si>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</si>
  <si>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</si>
  <si>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</si>
  <si>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</si>
  <si>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</si>
  <si>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</si>
  <si>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</si>
  <si>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</si>
  <si>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</si>
  <si>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</si>
  <si>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</si>
  <si>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</si>
  <si>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</si>
  <si>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</si>
  <si>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</si>
  <si>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</si>
  <si>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</si>
  <si>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</si>
  <si>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</si>
  <si>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</si>
  <si>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</si>
  <si>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</si>
  <si>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</si>
  <si>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</si>
  <si>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</si>
  <si>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</si>
  <si>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</si>
  <si>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</si>
  <si>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</si>
  <si>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</si>
  <si>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</si>
  <si>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</si>
  <si>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</si>
  <si>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</si>
  <si>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</si>
  <si>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</si>
  <si>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</si>
  <si>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</si>
  <si>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</si>
  <si>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</si>
  <si>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</si>
  <si>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</si>
  <si>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</si>
  <si>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</si>
  <si>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</si>
  <si>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</si>
  <si>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</si>
  <si>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</si>
  <si>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</si>
  <si>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</si>
  <si>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</si>
  <si>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</si>
  <si>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</si>
  <si>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</si>
  <si>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</si>
  <si>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</si>
  <si>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</si>
  <si>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</si>
  <si>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</si>
  <si>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</si>
  <si>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</si>
  <si>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</si>
  <si>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</si>
  <si>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</si>
  <si>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</si>
  <si>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</si>
  <si>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</si>
  <si>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</si>
  <si>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</si>
  <si>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</si>
  <si>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</si>
  <si>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</si>
  <si>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</si>
  <si>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</si>
  <si>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</si>
  <si>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</si>
  <si>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</si>
  <si>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</si>
  <si>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</si>
  <si>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</si>
  <si>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</si>
  <si>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</si>
  <si>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</si>
  <si>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</si>
  <si>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</si>
  <si>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</si>
  <si>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</si>
  <si>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</si>
  <si>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</si>
  <si>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</si>
  <si>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</si>
  <si>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</si>
  <si>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</si>
  <si>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</si>
  <si>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</si>
  <si>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</si>
  <si>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</si>
  <si>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</si>
  <si>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</si>
  <si>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</si>
  <si>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</si>
  <si>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</si>
  <si>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</si>
  <si>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</si>
  <si>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</si>
  <si>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</si>
  <si>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</si>
  <si>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</si>
  <si>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</si>
  <si>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</si>
  <si>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</si>
  <si>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</si>
  <si>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</si>
  <si>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</si>
  <si>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</si>
  <si>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</si>
  <si>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</si>
  <si>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</si>
  <si>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</si>
  <si>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</si>
  <si>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</si>
  <si>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</si>
  <si>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</si>
  <si>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</si>
  <si>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</si>
  <si>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</si>
  <si>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</si>
  <si>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</si>
  <si>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</si>
  <si>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</si>
  <si>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</si>
  <si>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</si>
  <si>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</si>
  <si>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</si>
  <si>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</si>
  <si>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</si>
  <si>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</si>
  <si>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</si>
  <si>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</si>
  <si>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</si>
  <si>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</si>
  <si>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</si>
  <si>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</si>
  <si>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</si>
  <si>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</si>
  <si>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</si>
  <si>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</si>
  <si>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</si>
  <si>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</si>
  <si>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</si>
  <si>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</si>
  <si>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</si>
  <si>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</si>
  <si>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</si>
  <si>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</si>
  <si>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</si>
  <si>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</si>
  <si>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</si>
  <si>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</si>
  <si>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</si>
  <si>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</si>
  <si>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</si>
  <si>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</si>
  <si>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</si>
  <si>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</si>
  <si>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</si>
  <si>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</si>
  <si>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</si>
  <si>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</si>
  <si>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</si>
  <si>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</si>
  <si>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</si>
  <si>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</si>
  <si>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</si>
  <si>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</si>
  <si>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</si>
  <si>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</si>
  <si>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</si>
  <si>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</si>
  <si>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</si>
  <si>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</si>
  <si>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</si>
  <si>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</si>
  <si>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</si>
  <si>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</si>
  <si>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</si>
  <si>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</si>
  <si>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</si>
  <si>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</si>
  <si>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</si>
  <si>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</si>
  <si>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</si>
  <si>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</si>
  <si>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</si>
  <si>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</si>
  <si>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</si>
  <si>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</si>
  <si>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</si>
  <si>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</si>
  <si>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</si>
  <si>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</si>
  <si>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</si>
  <si>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</si>
  <si>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</si>
  <si>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</si>
  <si>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</si>
  <si>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</si>
  <si>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</si>
  <si>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</si>
  <si>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</si>
  <si>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</si>
  <si>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</si>
  <si>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</si>
  <si>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</si>
  <si>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</si>
  <si>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</si>
  <si>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</si>
  <si>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</si>
  <si>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</si>
  <si>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</si>
  <si>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</si>
  <si>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</si>
  <si>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</si>
  <si>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</si>
  <si>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</si>
  <si>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</si>
  <si>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</si>
  <si>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</si>
  <si>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</si>
  <si>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</si>
  <si>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</si>
  <si>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</si>
  <si>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</si>
  <si>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</si>
  <si>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</si>
  <si>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</si>
  <si>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</si>
  <si>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</si>
  <si>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</si>
  <si>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</si>
  <si>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</si>
  <si>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</si>
  <si>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</si>
  <si>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</si>
  <si>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</si>
  <si>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</si>
  <si>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</si>
  <si>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</si>
  <si>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</si>
  <si>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</si>
  <si>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</si>
  <si>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</si>
  <si>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</si>
  <si>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</si>
  <si>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</si>
  <si>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</si>
  <si>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</si>
  <si>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</si>
  <si>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</si>
  <si>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</si>
  <si>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</si>
  <si>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</si>
  <si>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</si>
  <si>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</si>
  <si>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</si>
  <si>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</si>
  <si>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</si>
  <si>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</si>
  <si>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</si>
  <si>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</si>
  <si>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</si>
  <si>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</si>
  <si>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</si>
  <si>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</si>
  <si>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</si>
  <si>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</si>
  <si>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</si>
  <si>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</si>
  <si>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</si>
  <si>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</si>
  <si>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</si>
  <si>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</si>
  <si>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</si>
  <si>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</si>
  <si>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</si>
  <si>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</si>
  <si>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</si>
  <si>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</si>
  <si>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</si>
  <si>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</si>
  <si>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</si>
  <si>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</si>
  <si>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</si>
  <si>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</si>
  <si>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</si>
  <si>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</si>
  <si>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</si>
  <si>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</si>
  <si>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</si>
  <si>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</si>
  <si>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</si>
  <si>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</si>
  <si>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</si>
  <si>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</si>
  <si>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</si>
  <si>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</si>
  <si>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</si>
  <si>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</si>
  <si>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</si>
  <si>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</si>
  <si>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</si>
  <si>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</si>
  <si>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</si>
  <si>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</si>
  <si>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</si>
  <si>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</si>
  <si>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</si>
  <si>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</si>
  <si>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</si>
  <si>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</si>
  <si>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</si>
  <si>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</si>
  <si>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</si>
  <si>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</si>
  <si>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</si>
  <si>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</si>
  <si>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</si>
  <si>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</si>
  <si>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</si>
  <si>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</si>
  <si>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</si>
  <si>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</si>
  <si>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</si>
  <si>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</si>
  <si>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</si>
  <si>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</si>
  <si>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</si>
  <si>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</si>
  <si>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</si>
  <si>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</si>
  <si>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</si>
  <si>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</si>
  <si>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</si>
  <si>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</si>
  <si>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</si>
  <si>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</si>
  <si>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</si>
  <si>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</si>
  <si>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</si>
  <si>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</si>
  <si>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</si>
  <si>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</si>
  <si>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</si>
  <si>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</si>
  <si>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</si>
  <si>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</si>
  <si>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</si>
  <si>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</si>
  <si>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</si>
  <si>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</si>
  <si>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</si>
  <si>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</si>
  <si>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</si>
  <si>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</si>
  <si>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</si>
  <si>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</si>
  <si>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</si>
  <si>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</si>
  <si>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</si>
  <si>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</si>
  <si>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</si>
  <si>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</si>
  <si>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</si>
  <si>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</si>
  <si>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</si>
  <si>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</si>
  <si>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</si>
  <si>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</si>
  <si>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</si>
  <si>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</si>
  <si>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</si>
  <si>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</si>
  <si>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</si>
  <si>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</si>
  <si>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</si>
  <si>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</si>
  <si>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</si>
  <si>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</si>
  <si>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</si>
  <si>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</si>
  <si>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</si>
  <si>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</si>
  <si>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</si>
  <si>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</si>
  <si>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</si>
  <si>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</si>
  <si>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</si>
  <si>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</si>
  <si>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</si>
  <si>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</si>
  <si>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</si>
  <si>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</si>
  <si>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</si>
  <si>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</si>
  <si>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</si>
  <si>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</si>
  <si>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</si>
  <si>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</si>
  <si>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</si>
  <si>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</si>
  <si>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</si>
  <si>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</si>
  <si>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</si>
  <si>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</si>
  <si>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</si>
  <si>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</si>
  <si>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</si>
  <si>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</si>
  <si>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</si>
  <si>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</si>
  <si>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</si>
  <si>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</si>
  <si>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</si>
  <si>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</si>
  <si>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</si>
  <si>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</si>
  <si>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</si>
  <si>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</si>
  <si>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</si>
  <si>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</si>
  <si>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</si>
  <si>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</si>
  <si>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</si>
  <si>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</si>
  <si>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</si>
  <si>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</si>
  <si>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</si>
  <si>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</si>
  <si>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</si>
  <si>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</si>
  <si>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</si>
  <si>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</si>
  <si>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</si>
  <si>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</si>
  <si>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</si>
  <si>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</si>
  <si>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</si>
  <si>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</si>
  <si>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</si>
  <si>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</si>
  <si>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</si>
  <si>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</si>
  <si>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</si>
  <si>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</si>
  <si>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</si>
  <si>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</si>
  <si>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</si>
  <si>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</si>
  <si>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</si>
  <si>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</si>
  <si>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</si>
  <si>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</si>
  <si>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</si>
  <si>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</si>
  <si>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</si>
  <si>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</si>
  <si>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</si>
  <si>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</si>
  <si>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</si>
  <si>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</si>
  <si>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</si>
  <si>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</si>
  <si>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</si>
  <si>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</si>
  <si>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</si>
  <si>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</si>
  <si>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</si>
  <si>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</si>
  <si>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</si>
  <si>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</si>
  <si>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</si>
  <si>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</si>
  <si>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</si>
  <si>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</si>
  <si>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</si>
  <si>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</si>
  <si>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</si>
  <si>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</si>
  <si>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</si>
  <si>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</si>
  <si>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</si>
  <si>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</si>
  <si>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</si>
  <si>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</si>
  <si>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</si>
  <si>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</si>
  <si>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</si>
  <si>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</si>
  <si>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</si>
  <si>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</si>
  <si>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</si>
  <si>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</si>
  <si>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</si>
  <si>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</si>
  <si>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</si>
  <si>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</si>
  <si>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</si>
  <si>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</si>
  <si>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</si>
  <si>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</si>
  <si>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</si>
  <si>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</si>
  <si>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</si>
  <si>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</si>
  <si>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</si>
  <si>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</si>
  <si>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</si>
  <si>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</si>
  <si>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</si>
  <si>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</si>
  <si>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</si>
  <si>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</si>
  <si>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</si>
  <si>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</si>
  <si>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</si>
  <si>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</si>
  <si>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</si>
  <si>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</si>
  <si>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</si>
  <si>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</si>
  <si>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</si>
  <si>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</si>
  <si>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</si>
  <si>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</si>
  <si>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</si>
  <si>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</si>
  <si>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</si>
  <si>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</si>
  <si>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</si>
  <si>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</si>
  <si>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</si>
  <si>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</si>
  <si>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</si>
  <si>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</si>
  <si>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</si>
  <si>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</si>
  <si>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</si>
  <si>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</si>
  <si>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</si>
  <si>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</si>
  <si>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</si>
  <si>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</si>
  <si>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</si>
  <si>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</si>
  <si>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</si>
  <si>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</si>
  <si>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</si>
  <si>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</si>
  <si>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</si>
  <si>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</si>
  <si>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</si>
  <si>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</si>
  <si>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</si>
  <si>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</si>
  <si>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</si>
  <si>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</si>
  <si>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</si>
  <si>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</si>
  <si>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</si>
  <si>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</si>
  <si>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</si>
  <si>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</si>
  <si>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</si>
  <si>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</si>
  <si>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</si>
  <si>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</si>
  <si>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</si>
  <si>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</si>
  <si>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</si>
  <si>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</si>
  <si>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</si>
  <si>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</si>
  <si>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</si>
  <si>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</si>
  <si>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</si>
  <si>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</si>
  <si>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</si>
  <si>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</si>
  <si>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</si>
  <si>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</si>
  <si>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</si>
  <si>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</si>
  <si>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</si>
  <si>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</si>
  <si>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</si>
  <si>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</si>
  <si>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</si>
  <si>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</si>
  <si>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</si>
  <si>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</si>
  <si>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</si>
  <si>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</si>
  <si>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</si>
  <si>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</si>
  <si>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</si>
  <si>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</si>
  <si>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</si>
  <si>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</si>
  <si>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</si>
  <si>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</si>
  <si>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</si>
  <si>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</si>
  <si>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</si>
  <si>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</si>
  <si>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</si>
  <si>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</si>
  <si>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</si>
  <si>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</si>
  <si>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</si>
  <si>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</si>
  <si>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</si>
  <si>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</si>
  <si>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</si>
  <si>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</si>
  <si>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</si>
  <si>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</si>
  <si>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</si>
  <si>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</si>
  <si>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</si>
  <si>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</si>
  <si>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</si>
  <si>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</si>
  <si>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</si>
  <si>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</si>
  <si>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</si>
  <si>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</si>
  <si>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</si>
  <si>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</si>
  <si>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</si>
  <si>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</si>
  <si>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</si>
  <si>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</si>
  <si>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</si>
  <si>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</si>
  <si>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</si>
  <si>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</si>
  <si>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</si>
  <si>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</si>
  <si>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</si>
  <si>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</si>
  <si>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</si>
  <si>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</si>
  <si>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</si>
  <si>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</si>
  <si>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</si>
  <si>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</si>
  <si>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</si>
  <si>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</si>
  <si>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</si>
  <si>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</si>
  <si>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</si>
  <si>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</si>
  <si>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</si>
  <si>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</si>
  <si>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</si>
  <si>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</si>
  <si>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</si>
  <si>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</si>
  <si>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</si>
  <si>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</si>
  <si>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</si>
  <si>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</si>
  <si>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</si>
  <si>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</si>
  <si>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</si>
  <si>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</si>
  <si>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</si>
  <si>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</si>
  <si>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</si>
  <si>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</si>
  <si>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</si>
  <si>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</si>
  <si>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</si>
  <si>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</si>
  <si>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</si>
  <si>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</si>
  <si>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</si>
  <si>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</si>
  <si>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</si>
  <si>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</si>
  <si>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</si>
  <si>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</si>
  <si>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</si>
  <si>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</si>
  <si>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</si>
  <si>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</si>
  <si>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</si>
  <si>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</si>
  <si>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</si>
  <si>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</si>
  <si>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</si>
  <si>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</si>
  <si>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</si>
  <si>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</si>
  <si>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</si>
  <si>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</si>
  <si>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</si>
  <si>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</si>
  <si>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</si>
  <si>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</si>
  <si>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</si>
  <si>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</si>
  <si>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</si>
  <si>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</si>
  <si>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</si>
  <si>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</si>
  <si>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</si>
  <si>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</si>
  <si>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</si>
  <si>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</si>
  <si>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</si>
  <si>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</si>
  <si>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</si>
  <si>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</si>
  <si>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</si>
  <si>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</si>
  <si>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</si>
  <si>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</si>
  <si>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</si>
  <si>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</si>
  <si>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</si>
  <si>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</si>
  <si>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</si>
  <si>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</si>
  <si>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</si>
  <si>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</si>
  <si>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</si>
  <si>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</si>
  <si>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</si>
  <si>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</si>
  <si>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</si>
  <si>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</si>
  <si>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</si>
  <si>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</si>
  <si>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</si>
  <si>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</si>
  <si>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</si>
  <si>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</si>
  <si>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</si>
  <si>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</si>
  <si>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</si>
  <si>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</si>
  <si>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</si>
  <si>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</si>
  <si>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</si>
  <si>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</si>
  <si>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</si>
  <si>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</si>
  <si>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</si>
  <si>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</si>
  <si>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</si>
  <si>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</si>
  <si>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</si>
  <si>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</si>
  <si>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</si>
  <si>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</si>
  <si>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</si>
  <si>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</si>
  <si>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</si>
  <si>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</si>
  <si>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</si>
  <si>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</si>
  <si>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</si>
  <si>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</si>
  <si>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</si>
  <si>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</si>
  <si>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</si>
  <si>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</si>
  <si>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</si>
  <si>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</si>
  <si>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</si>
  <si>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</si>
  <si>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</si>
  <si>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</si>
  <si>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</si>
  <si>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</si>
  <si>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</si>
  <si>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</si>
  <si>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</si>
  <si>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</si>
  <si>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</si>
  <si>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</si>
  <si>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</si>
  <si>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</si>
  <si>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</si>
  <si>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</si>
  <si>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</si>
  <si>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</si>
  <si>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</si>
  <si>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</si>
  <si>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</si>
  <si>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</si>
  <si>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</si>
  <si>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</si>
  <si>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</si>
  <si>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</si>
  <si>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</si>
  <si>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</si>
  <si>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</si>
  <si>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</si>
  <si>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</si>
  <si>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</si>
  <si>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</si>
  <si>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</si>
  <si>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</si>
  <si>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</si>
  <si>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</si>
  <si>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</si>
  <si>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</si>
  <si>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</si>
  <si>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</si>
  <si>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</si>
  <si>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</si>
  <si>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</si>
  <si>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</si>
  <si>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</si>
  <si>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</si>
  <si>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</si>
  <si>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</si>
  <si>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</si>
  <si>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</si>
  <si>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</si>
  <si>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</si>
  <si>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</si>
  <si>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</si>
  <si>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</si>
  <si>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</si>
  <si>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</si>
  <si>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</si>
  <si>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</si>
  <si>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</si>
  <si>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</si>
  <si>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</si>
  <si>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</si>
  <si>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</si>
  <si>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</si>
  <si>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</si>
  <si>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</si>
  <si>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</si>
  <si>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</si>
  <si>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</si>
  <si>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</si>
  <si>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</si>
  <si>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</si>
  <si>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</si>
  <si>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</si>
  <si>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</si>
  <si>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</si>
  <si>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</si>
  <si>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</si>
  <si>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</si>
  <si>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</si>
  <si>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</si>
  <si>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</si>
  <si>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</si>
  <si>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</si>
  <si>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</si>
  <si>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</si>
  <si>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</si>
  <si>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</si>
  <si>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</si>
  <si>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</si>
  <si>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</si>
  <si>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</si>
  <si>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</si>
  <si>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</si>
  <si>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</si>
  <si>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</si>
  <si>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</si>
  <si>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</si>
  <si>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</si>
  <si>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</si>
  <si>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</si>
  <si>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</si>
  <si>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</si>
  <si>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</si>
  <si>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</si>
  <si>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</si>
  <si>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</si>
  <si>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</si>
  <si>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</si>
  <si>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</si>
  <si>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</si>
  <si>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</si>
  <si>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</si>
  <si>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</si>
  <si>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</si>
  <si>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</si>
  <si>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</si>
  <si>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</si>
  <si>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</si>
  <si>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</si>
  <si>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</si>
  <si>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</si>
  <si>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</si>
  <si>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</si>
  <si>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</si>
  <si>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</si>
  <si>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</si>
  <si>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</si>
  <si>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</si>
  <si>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</si>
  <si>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</si>
  <si>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</si>
  <si>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</si>
  <si>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</si>
  <si>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</si>
  <si>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</si>
  <si>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</si>
  <si>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</si>
  <si>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</si>
  <si>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</si>
  <si>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</si>
  <si>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</si>
  <si>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</si>
  <si>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</si>
  <si>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</si>
  <si>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</si>
  <si>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</si>
  <si>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</si>
  <si>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</si>
  <si>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</si>
  <si>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</si>
  <si>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</si>
  <si>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</si>
  <si>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</si>
  <si>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</si>
  <si>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</si>
  <si>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</si>
  <si>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</si>
  <si>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</si>
  <si>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</si>
  <si>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</si>
  <si>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</si>
  <si>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</si>
  <si>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</si>
  <si>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</si>
  <si>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</si>
  <si>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</si>
  <si>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</si>
  <si>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</si>
  <si>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</si>
  <si>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</si>
  <si>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</si>
  <si>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</si>
  <si>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</si>
  <si>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</si>
  <si>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</si>
  <si>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</si>
  <si>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</si>
  <si>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</si>
  <si>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</si>
  <si>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</si>
  <si>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</si>
  <si>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</si>
  <si>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</si>
  <si>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</si>
  <si>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</si>
  <si>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</si>
  <si>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</si>
  <si>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</si>
  <si>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</si>
  <si>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</si>
  <si>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</si>
  <si>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</si>
  <si>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</si>
  <si>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</si>
  <si>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</si>
  <si>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</si>
  <si>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</si>
  <si>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</si>
  <si>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</si>
  <si>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</si>
  <si>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</si>
  <si>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</si>
  <si>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</si>
  <si>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</si>
  <si>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</si>
  <si>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</si>
  <si>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</si>
  <si>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</si>
  <si>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</si>
  <si>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</si>
  <si>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</si>
  <si>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</si>
  <si>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</si>
  <si>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</si>
  <si>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</si>
  <si>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</si>
  <si>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</si>
  <si>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</si>
  <si>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</si>
  <si>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</si>
  <si>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</si>
  <si>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</si>
  <si>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</si>
  <si>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</si>
  <si>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</si>
  <si>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</si>
  <si>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</si>
  <si>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</si>
  <si>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</si>
  <si>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</si>
  <si>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</si>
  <si>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</si>
  <si>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</si>
  <si>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</si>
  <si>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</si>
  <si>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</si>
  <si>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</si>
  <si>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</si>
  <si>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</si>
  <si>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</si>
  <si>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</si>
  <si>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</si>
  <si>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</si>
  <si>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</si>
  <si>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</si>
  <si>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</si>
  <si>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</si>
  <si>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</si>
  <si>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</si>
  <si>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</si>
  <si>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</si>
  <si>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</si>
  <si>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</si>
  <si>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</si>
  <si>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</si>
  <si>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</si>
  <si>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</si>
  <si>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</si>
  <si>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</si>
  <si>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</si>
  <si>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</si>
  <si>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</si>
  <si>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</si>
  <si>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</si>
  <si>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</si>
  <si>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</si>
  <si>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</si>
  <si>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</si>
  <si>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</si>
  <si>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</si>
  <si>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</si>
  <si>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</si>
  <si>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</si>
  <si>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</si>
  <si>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</si>
  <si>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</si>
  <si>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</si>
  <si>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</si>
  <si>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</si>
  <si>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</si>
  <si>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</si>
  <si>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</si>
  <si>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</si>
  <si>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</si>
  <si>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</si>
  <si>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</si>
  <si>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</si>
  <si>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</si>
  <si>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</si>
  <si>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</si>
  <si>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</si>
  <si>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</si>
  <si>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</si>
  <si>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</si>
  <si>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</si>
  <si>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</si>
  <si>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</si>
  <si>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</si>
  <si>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</si>
  <si>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</si>
  <si>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</si>
  <si>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</si>
  <si>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</si>
  <si>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</si>
  <si>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</si>
  <si>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</si>
  <si>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</si>
  <si>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</si>
  <si>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</si>
  <si>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</si>
  <si>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</si>
  <si>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</si>
  <si>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</si>
  <si>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</si>
  <si>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</si>
  <si>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</si>
  <si>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</si>
  <si>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</si>
  <si>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</si>
  <si>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</si>
  <si>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</si>
  <si>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</si>
  <si>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</si>
  <si>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</si>
  <si>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</si>
  <si>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</si>
  <si>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</si>
  <si>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</si>
  <si>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</si>
  <si>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</si>
  <si>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</si>
  <si>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</si>
  <si>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</si>
  <si>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</si>
  <si>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</si>
  <si>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</si>
  <si>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</si>
  <si>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</si>
  <si>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</si>
  <si>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</si>
  <si>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</si>
  <si>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</si>
  <si>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</si>
  <si>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</si>
  <si>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</si>
  <si>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</si>
  <si>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</si>
  <si>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</si>
  <si>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</si>
  <si>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</si>
  <si>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</si>
  <si>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</si>
  <si>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</si>
  <si>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</si>
  <si>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</si>
  <si>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</si>
  <si>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</si>
  <si>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</si>
  <si>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</si>
  <si>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</si>
  <si>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</si>
  <si>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</si>
  <si>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</si>
  <si>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</si>
  <si>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</si>
  <si>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</si>
  <si>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</si>
  <si>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</si>
  <si>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</si>
  <si>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</si>
  <si>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</si>
  <si>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</si>
  <si>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</si>
  <si>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</si>
  <si>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</si>
  <si>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</si>
  <si>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</si>
  <si>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</si>
  <si>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</si>
  <si>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</si>
  <si>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</si>
  <si>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</si>
  <si>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</si>
  <si>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</si>
  <si>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</si>
  <si>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</si>
  <si>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</si>
  <si>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</si>
  <si>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</si>
  <si>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</si>
  <si>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</si>
  <si>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</si>
  <si>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</si>
  <si>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</si>
  <si>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</si>
  <si>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</si>
  <si>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</si>
  <si>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</si>
  <si>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</si>
  <si>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</si>
  <si>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</si>
  <si>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</si>
  <si>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</si>
  <si>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</si>
  <si>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</si>
  <si>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</si>
  <si>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</si>
  <si>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</si>
  <si>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</si>
  <si>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</si>
  <si>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</si>
  <si>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</si>
  <si>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</si>
  <si>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</si>
  <si>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</si>
  <si>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</si>
  <si>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</si>
  <si>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</si>
  <si>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</si>
  <si>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</si>
  <si>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</si>
  <si>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</si>
  <si>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</si>
  <si>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</si>
  <si>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</si>
  <si>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</si>
  <si>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</si>
  <si>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</si>
  <si>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</si>
  <si>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</si>
  <si>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</si>
  <si>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</si>
  <si>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</si>
  <si>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</si>
  <si>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</si>
  <si>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</si>
  <si>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</si>
  <si>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</si>
  <si>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</si>
  <si>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</si>
  <si>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</si>
  <si>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</si>
  <si>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</si>
  <si>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</si>
  <si>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</si>
  <si>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</si>
  <si>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</si>
  <si>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</si>
  <si>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</si>
  <si>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</si>
  <si>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</si>
  <si>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</si>
  <si>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</si>
  <si>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</si>
  <si>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</si>
  <si>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</si>
  <si>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</si>
  <si>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</si>
  <si>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</si>
  <si>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</si>
  <si>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</si>
  <si>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</si>
  <si>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</si>
  <si>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</si>
  <si>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</si>
  <si>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</si>
  <si>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</si>
  <si>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</si>
  <si>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</si>
  <si>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</si>
  <si>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</si>
  <si>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</si>
  <si>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</si>
  <si>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</si>
  <si>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</si>
  <si>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</si>
  <si>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</si>
  <si>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</si>
  <si>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</si>
  <si>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</si>
  <si>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</si>
  <si>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</si>
  <si>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</si>
  <si>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</si>
  <si>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</si>
  <si>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</si>
  <si>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</si>
  <si>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</si>
  <si>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</si>
  <si>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</si>
  <si>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</si>
  <si>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</si>
  <si>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</si>
  <si>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</si>
  <si>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</si>
  <si>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</si>
  <si>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</si>
  <si>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</si>
  <si>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</si>
  <si>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</si>
  <si>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</si>
  <si>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</si>
  <si>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</si>
  <si>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</si>
  <si>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</si>
  <si>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</si>
  <si>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</si>
  <si>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</si>
  <si>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</si>
  <si>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</si>
  <si>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</si>
  <si>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</si>
  <si>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</si>
  <si>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</si>
  <si>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</si>
  <si>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</si>
  <si>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</si>
  <si>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</si>
  <si>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</si>
  <si>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</si>
  <si>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</si>
  <si>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</si>
  <si>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</si>
  <si>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</si>
  <si>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</si>
  <si>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</si>
  <si>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</si>
  <si>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</si>
  <si>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</si>
  <si>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</si>
  <si>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</si>
  <si>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</si>
  <si>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</si>
  <si>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</si>
  <si>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</si>
  <si>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</si>
  <si>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</si>
  <si>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</si>
  <si>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</si>
  <si>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</si>
  <si>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</si>
  <si>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</si>
  <si>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</si>
  <si>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</si>
  <si>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</si>
  <si>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</si>
  <si>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</si>
  <si>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</si>
  <si>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</si>
  <si>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</si>
  <si>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</si>
  <si>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</si>
  <si>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</si>
  <si>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</si>
  <si>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</si>
  <si>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</si>
  <si>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</si>
  <si>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</si>
  <si>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</si>
  <si>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</si>
  <si>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</si>
  <si>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</si>
  <si>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</si>
  <si>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</si>
  <si>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</si>
  <si>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</si>
  <si>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</si>
  <si>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</si>
  <si>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</si>
  <si>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</si>
  <si>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</si>
  <si>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</si>
  <si>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</si>
  <si>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</si>
  <si>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</si>
  <si>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</si>
  <si>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</si>
  <si>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</si>
  <si>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</si>
  <si>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</si>
  <si>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</si>
  <si>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</si>
  <si>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</si>
  <si>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</si>
  <si>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</si>
  <si>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</si>
  <si>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</si>
  <si>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</si>
  <si>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</si>
  <si>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</si>
  <si>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</si>
  <si>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</si>
  <si>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</si>
  <si>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</si>
  <si>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</si>
  <si>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</si>
  <si>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</si>
  <si>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</si>
  <si>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</si>
  <si>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</si>
  <si>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</si>
  <si>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</si>
  <si>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</si>
  <si>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</si>
  <si>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</si>
  <si>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</si>
  <si>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</si>
  <si>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</si>
  <si>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</si>
  <si>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</si>
  <si>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</si>
  <si>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</si>
  <si>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</si>
  <si>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</si>
  <si>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</si>
  <si>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</si>
  <si>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</si>
  <si>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</si>
  <si>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</si>
  <si>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</si>
  <si>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</si>
  <si>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</si>
  <si>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</si>
  <si>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</si>
  <si>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</si>
  <si>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</si>
  <si>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</si>
  <si>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</si>
  <si>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</si>
  <si>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</si>
  <si>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</si>
  <si>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</si>
  <si>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</si>
  <si>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</si>
  <si>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</si>
  <si>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</si>
  <si>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</si>
  <si>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</si>
  <si>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</si>
  <si>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</si>
  <si>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</si>
  <si>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</si>
  <si>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</si>
  <si>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</si>
  <si>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</si>
  <si>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</si>
  <si>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</si>
  <si>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</si>
  <si>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</si>
  <si>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</si>
  <si>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</si>
  <si>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</si>
  <si>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</si>
  <si>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</si>
  <si>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</si>
  <si>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</si>
  <si>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</si>
  <si>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</si>
  <si>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</si>
  <si>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</si>
  <si>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</si>
  <si>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</si>
  <si>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</si>
  <si>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</si>
  <si>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</si>
  <si>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</si>
  <si>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</si>
  <si>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</si>
  <si>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</si>
  <si>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</si>
  <si>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</si>
  <si>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</si>
  <si>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</si>
  <si>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</si>
  <si>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</si>
  <si>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</si>
  <si>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</si>
  <si>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</si>
  <si>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</si>
  <si>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</si>
  <si>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</si>
  <si>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</si>
  <si>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</si>
  <si>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</si>
  <si>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</si>
  <si>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</si>
  <si>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</si>
  <si>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</si>
  <si>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</si>
  <si>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</si>
  <si>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</si>
  <si>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</si>
  <si>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</si>
  <si>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</si>
  <si>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</si>
  <si>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</si>
  <si>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</si>
  <si>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</si>
  <si>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</si>
  <si>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</si>
  <si>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</si>
  <si>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</si>
  <si>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</si>
  <si>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</si>
  <si>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</si>
  <si>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</si>
  <si>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</si>
  <si>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</si>
  <si>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</si>
  <si>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</si>
  <si>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</si>
  <si>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</si>
  <si>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</si>
  <si>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</si>
  <si>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</si>
  <si>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</si>
  <si>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</si>
  <si>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</si>
  <si>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</si>
  <si>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</si>
  <si>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</si>
  <si>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</si>
  <si>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</si>
  <si>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</si>
  <si>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</si>
  <si>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</si>
  <si>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</si>
  <si>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</si>
  <si>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</si>
  <si>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</si>
  <si>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</si>
  <si>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</si>
  <si>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</si>
  <si>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</si>
  <si>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</si>
  <si>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</si>
  <si>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</si>
  <si>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</si>
  <si>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</si>
  <si>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</si>
  <si>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</si>
  <si>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</si>
  <si>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</si>
  <si>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</si>
  <si>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</si>
  <si>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</si>
  <si>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</si>
  <si>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</si>
  <si>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</si>
  <si>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</si>
  <si>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</si>
  <si>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</si>
  <si>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</si>
  <si>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</si>
  <si>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</si>
  <si>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</si>
  <si>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</si>
  <si>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</si>
  <si>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</si>
  <si>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</si>
  <si>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</si>
  <si>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</si>
  <si>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</si>
  <si>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</si>
  <si>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</si>
  <si>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</si>
  <si>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</si>
  <si>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</si>
  <si>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</si>
  <si>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</si>
  <si>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</si>
  <si>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</si>
  <si>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</si>
  <si>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</si>
  <si>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</si>
  <si>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</si>
  <si>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</si>
  <si>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</si>
  <si>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</si>
  <si>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</si>
  <si>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</si>
  <si>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</si>
  <si>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</si>
  <si>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</si>
  <si>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</si>
  <si>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</si>
  <si>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</si>
  <si>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</si>
  <si>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</si>
  <si>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</si>
  <si>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</si>
  <si>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</si>
  <si>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</si>
  <si>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</si>
  <si>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</si>
  <si>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</si>
  <si>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</si>
  <si>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</si>
  <si>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</si>
  <si>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</si>
  <si>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</si>
  <si>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</si>
  <si>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</si>
  <si>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</si>
  <si>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</si>
  <si>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</si>
  <si>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</si>
  <si>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</si>
  <si>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</si>
  <si>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</si>
  <si>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</si>
  <si>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</si>
  <si>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</si>
  <si>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</si>
  <si>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</si>
  <si>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</si>
  <si>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</si>
  <si>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</si>
  <si>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</si>
  <si>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</si>
  <si>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</si>
  <si>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</si>
  <si>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</si>
  <si>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</si>
  <si>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</si>
  <si>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</si>
  <si>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</si>
  <si>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</si>
  <si>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</si>
  <si>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</si>
  <si>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</si>
  <si>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</si>
  <si>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</si>
  <si>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</si>
  <si>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</si>
  <si>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</si>
  <si>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</si>
  <si>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</si>
  <si>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</si>
  <si>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</si>
  <si>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</si>
  <si>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</si>
  <si>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</si>
  <si>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</si>
  <si>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</si>
  <si>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</si>
  <si>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</si>
  <si>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</si>
  <si>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</si>
  <si>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</si>
  <si>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</si>
  <si>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</si>
  <si>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</si>
  <si>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</si>
  <si>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</si>
  <si>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</si>
  <si>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</si>
  <si>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</si>
  <si>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</si>
  <si>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</si>
  <si>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</si>
  <si>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</si>
  <si>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</si>
  <si>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</si>
  <si>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</si>
  <si>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</si>
  <si>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</si>
  <si>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</si>
  <si>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</si>
  <si>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</si>
  <si>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</si>
  <si>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</si>
  <si>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</si>
  <si>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</si>
  <si>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</si>
  <si>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</si>
  <si>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</si>
  <si>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</si>
  <si>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</si>
  <si>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</si>
  <si>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</si>
  <si>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</si>
  <si>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</si>
  <si>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</si>
  <si>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</si>
  <si>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</si>
  <si>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</si>
  <si>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</si>
  <si>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</si>
  <si>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</si>
  <si>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</si>
  <si>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</si>
  <si>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</si>
  <si>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</si>
  <si>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</si>
  <si>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</si>
  <si>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</si>
  <si>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</si>
  <si>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</si>
  <si>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</si>
  <si>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</si>
  <si>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</si>
  <si>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</si>
  <si>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</si>
  <si>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</si>
  <si>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</si>
  <si>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</si>
  <si>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</si>
  <si>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</si>
  <si>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</si>
  <si>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</si>
  <si>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</si>
  <si>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</si>
  <si>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</si>
  <si>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</si>
  <si>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</si>
  <si>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</si>
  <si>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</si>
  <si>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</si>
  <si>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</si>
  <si>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</si>
  <si>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</si>
  <si>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</si>
  <si>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</si>
  <si>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</si>
  <si>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</si>
  <si>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</si>
  <si>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</si>
  <si>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</si>
  <si>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</si>
  <si>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</si>
  <si>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</si>
  <si>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</si>
  <si>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</si>
  <si>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</si>
  <si>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</si>
  <si>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</si>
  <si>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</si>
  <si>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</si>
  <si>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</si>
  <si>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</si>
  <si>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</si>
  <si>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</si>
  <si>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</si>
  <si>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</si>
  <si>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</si>
  <si>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</si>
  <si>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</si>
  <si>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</si>
  <si>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</si>
  <si>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</si>
  <si>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</si>
  <si>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</si>
  <si>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</si>
  <si>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</si>
  <si>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</si>
  <si>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</si>
  <si>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</si>
  <si>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</si>
  <si>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</si>
  <si>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</si>
  <si>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</si>
  <si>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</si>
  <si>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</si>
  <si>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</si>
  <si>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</si>
  <si>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</si>
  <si>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</si>
  <si>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</si>
  <si>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</si>
  <si>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</si>
  <si>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</si>
  <si>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</si>
  <si>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</si>
  <si>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</si>
  <si>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</si>
  <si>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</si>
  <si>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</si>
  <si>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</si>
  <si>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</si>
  <si>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</si>
  <si>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</si>
  <si>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</si>
  <si>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</si>
  <si>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</si>
  <si>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</si>
  <si>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</si>
  <si>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</si>
  <si>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</si>
  <si>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</si>
  <si>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</si>
  <si>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</si>
  <si>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</si>
  <si>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</si>
  <si>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</si>
  <si>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</si>
  <si>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</si>
  <si>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</si>
  <si>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</si>
  <si>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</si>
  <si>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</si>
  <si>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</si>
  <si>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</si>
  <si>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</si>
  <si>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</si>
  <si>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</si>
  <si>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</si>
  <si>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</si>
  <si>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</si>
  <si>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</si>
  <si>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</si>
  <si>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</si>
  <si>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</si>
  <si>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</si>
  <si>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</si>
  <si>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</si>
  <si>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</si>
  <si>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</si>
  <si>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</si>
  <si>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</si>
  <si>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</si>
  <si>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</si>
  <si>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</si>
  <si>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</si>
  <si>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</si>
  <si>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</si>
  <si>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</si>
  <si>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</si>
  <si>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</si>
  <si>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</si>
  <si>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</si>
  <si>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</si>
  <si>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</si>
  <si>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</si>
  <si>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</si>
  <si>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</si>
  <si>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</si>
  <si>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</si>
  <si>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</si>
  <si>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</si>
  <si>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</si>
  <si>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</si>
  <si>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</si>
  <si>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</si>
  <si>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</si>
  <si>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</si>
  <si>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</si>
  <si>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</si>
  <si>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</si>
  <si>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</si>
  <si>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</si>
  <si>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</si>
  <si>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</si>
  <si>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</si>
  <si>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</si>
  <si>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</si>
  <si>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</si>
  <si>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</si>
  <si>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</si>
  <si>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</si>
  <si>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</si>
  <si>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</si>
  <si>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</si>
  <si>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</si>
  <si>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</si>
  <si>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</si>
  <si>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</si>
  <si>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</si>
  <si>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</si>
  <si>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</si>
  <si>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</si>
  <si>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</si>
  <si>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</si>
  <si>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</si>
  <si>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</si>
  <si>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</si>
  <si>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</si>
  <si>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</si>
  <si>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</si>
  <si>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</si>
  <si>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</si>
  <si>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</si>
  <si>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</si>
  <si>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</si>
  <si>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</si>
  <si>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</si>
  <si>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</si>
  <si>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</si>
  <si>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</si>
  <si>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</si>
  <si>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</si>
  <si>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</si>
  <si>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</si>
  <si>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</si>
  <si>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</si>
  <si>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</si>
  <si>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</si>
  <si>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</si>
  <si>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</si>
  <si>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</si>
  <si>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</si>
  <si>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</si>
  <si>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</si>
  <si>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</si>
  <si>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</si>
  <si>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</si>
  <si>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</si>
  <si>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</si>
  <si>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</si>
  <si>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</si>
  <si>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</si>
  <si>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</si>
  <si>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</si>
  <si>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</si>
  <si>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</si>
  <si>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</si>
  <si>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</si>
  <si>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</si>
  <si>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</si>
  <si>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</si>
  <si>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</si>
  <si>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</si>
  <si>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</si>
  <si>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</si>
  <si>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</si>
  <si>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</si>
  <si>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</si>
  <si>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</si>
  <si>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</si>
  <si>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</si>
  <si>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</si>
  <si>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</si>
  <si>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</si>
  <si>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</si>
  <si>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</si>
  <si>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</si>
  <si>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</si>
  <si>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</si>
  <si>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</si>
  <si>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</si>
  <si>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</si>
  <si>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</si>
  <si>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</si>
  <si>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</si>
  <si>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</si>
  <si>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</si>
  <si>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</si>
  <si>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</si>
  <si>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</si>
  <si>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</si>
  <si>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</si>
  <si>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</si>
  <si>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</si>
  <si>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</si>
  <si>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</si>
  <si>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</si>
  <si>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</si>
  <si>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</si>
  <si>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</si>
  <si>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</si>
  <si>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</si>
  <si>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</si>
  <si>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</si>
  <si>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</si>
  <si>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</si>
  <si>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</si>
  <si>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</si>
  <si>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</si>
  <si>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</si>
  <si>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</si>
  <si>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</si>
  <si>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</si>
  <si>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</si>
  <si>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</si>
  <si>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</si>
  <si>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</si>
  <si>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</si>
  <si>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</si>
  <si>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</si>
  <si>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</si>
  <si>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</si>
  <si>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</si>
  <si>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</si>
  <si>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</si>
  <si>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</si>
  <si>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</si>
  <si>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</si>
  <si>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</si>
  <si>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</si>
  <si>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</si>
  <si>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</si>
  <si>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</si>
  <si>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</si>
  <si>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</si>
  <si>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</si>
  <si>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</si>
  <si>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</si>
  <si>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</si>
  <si>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</si>
  <si>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</si>
  <si>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</si>
  <si>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</si>
  <si>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</si>
  <si>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</si>
  <si>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</si>
  <si>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</si>
  <si>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</si>
  <si>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</si>
  <si>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</si>
  <si>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</si>
  <si>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</si>
  <si>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</si>
  <si>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</si>
  <si>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</si>
  <si>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</si>
  <si>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</si>
  <si>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</si>
  <si>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</si>
  <si>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</si>
  <si>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</si>
  <si>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</si>
  <si>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</si>
  <si>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</si>
  <si>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</si>
  <si>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</si>
  <si>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</si>
  <si>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</si>
  <si>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</si>
  <si>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</si>
  <si>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</si>
  <si>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</si>
  <si>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</si>
  <si>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</si>
  <si>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</si>
  <si>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</si>
  <si>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</si>
  <si>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</si>
  <si>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</si>
  <si>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</si>
  <si>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</si>
  <si>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</si>
  <si>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</si>
  <si>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</si>
  <si>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</si>
  <si>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</si>
  <si>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</si>
  <si>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</si>
  <si>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</si>
  <si>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</si>
  <si>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</si>
  <si>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</si>
  <si>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</si>
  <si>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</si>
  <si>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</si>
  <si>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</si>
  <si>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</si>
  <si>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</si>
  <si>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</si>
  <si>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</si>
  <si>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</si>
  <si>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</si>
  <si>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</si>
  <si>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</si>
  <si>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</si>
  <si>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</si>
  <si>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</si>
  <si>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</si>
  <si>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</si>
  <si>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</si>
  <si>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</si>
  <si>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</si>
  <si>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</si>
  <si>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</si>
  <si>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</si>
  <si>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</si>
  <si>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</si>
  <si>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</si>
  <si>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</si>
  <si>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</si>
  <si>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</si>
  <si>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</si>
  <si>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</si>
  <si>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</si>
  <si>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</si>
  <si>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</si>
  <si>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</si>
  <si>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</si>
  <si>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</si>
  <si>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</si>
  <si>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</si>
  <si>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</si>
  <si>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</si>
  <si>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</si>
  <si>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</si>
  <si>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</si>
  <si>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</si>
  <si>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</si>
  <si>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</si>
  <si>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</si>
  <si>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</si>
  <si>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</si>
  <si>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</si>
  <si>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</si>
  <si>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</si>
  <si>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</si>
  <si>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</si>
  <si>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</si>
  <si>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</si>
  <si>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</si>
  <si>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</si>
  <si>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</si>
  <si>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</si>
  <si>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</si>
  <si>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</si>
  <si>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</si>
  <si>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</si>
  <si>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</si>
  <si>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</si>
  <si>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</si>
  <si>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</si>
  <si>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</si>
  <si>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</si>
  <si>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</si>
  <si>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</si>
  <si>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</si>
  <si>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</si>
  <si>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</si>
  <si>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</si>
  <si>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</si>
  <si>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</si>
  <si>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</si>
  <si>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</si>
  <si>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</si>
  <si>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</si>
  <si>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</si>
  <si>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</si>
  <si>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</si>
  <si>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</si>
  <si>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</si>
  <si>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</si>
  <si>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</si>
  <si>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</si>
  <si>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</si>
  <si>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</si>
  <si>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</si>
  <si>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</si>
  <si>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</si>
  <si>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</si>
  <si>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</si>
  <si>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</si>
  <si>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</si>
  <si>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</si>
  <si>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</si>
  <si>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</si>
  <si>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</si>
  <si>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</si>
  <si>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</si>
  <si>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</si>
  <si>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</si>
  <si>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</si>
  <si>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</si>
  <si>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</si>
  <si>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</si>
  <si>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</si>
  <si>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</si>
  <si>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</si>
  <si>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</si>
  <si>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</si>
  <si>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</si>
  <si>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</si>
  <si>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</si>
  <si>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</si>
  <si>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</si>
  <si>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</si>
  <si>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</si>
  <si>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</si>
  <si>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</si>
  <si>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</si>
  <si>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</si>
  <si>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</si>
  <si>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</si>
  <si>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</si>
  <si>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</si>
  <si>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</si>
  <si>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</si>
  <si>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</si>
  <si>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</si>
  <si>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</si>
  <si>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</si>
  <si>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</si>
  <si>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</si>
  <si>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</si>
  <si>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</si>
  <si>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</si>
  <si>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</si>
  <si>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</si>
  <si>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</si>
  <si>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</si>
  <si>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</si>
  <si>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</si>
  <si>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</si>
  <si>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</si>
  <si>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</si>
  <si>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</si>
  <si>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</si>
  <si>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</si>
  <si>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</si>
  <si>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</si>
  <si>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</si>
  <si>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</si>
  <si>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</si>
  <si>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</si>
  <si>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</si>
  <si>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</si>
  <si>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</si>
  <si>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</si>
  <si>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</si>
  <si>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</si>
  <si>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</si>
  <si>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</si>
  <si>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</si>
  <si>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</si>
  <si>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</si>
  <si>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</si>
  <si>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</si>
  <si>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</si>
  <si>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</si>
  <si>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</si>
  <si>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</si>
  <si>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</si>
  <si>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</si>
  <si>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</si>
  <si>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</si>
  <si>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</si>
  <si>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</si>
  <si>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</si>
  <si>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</si>
  <si>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</si>
  <si>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</si>
  <si>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</si>
  <si>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</si>
  <si>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</si>
  <si>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</si>
  <si>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</si>
  <si>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</si>
  <si>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</si>
  <si>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</si>
  <si>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</si>
  <si>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</si>
  <si>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</si>
  <si>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</si>
  <si>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</si>
  <si>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</si>
  <si>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</si>
  <si>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</si>
  <si>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</si>
  <si>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</si>
  <si>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</si>
  <si>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</si>
  <si>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</si>
  <si>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</si>
  <si>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</si>
  <si>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</si>
  <si>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</si>
  <si>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</si>
  <si>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</si>
  <si>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</si>
  <si>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</si>
  <si>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</si>
  <si>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</si>
  <si>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</si>
  <si>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</si>
  <si>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</si>
  <si>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</si>
  <si>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</si>
  <si>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</si>
  <si>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</si>
  <si>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</si>
  <si>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</si>
  <si>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</si>
  <si>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</si>
  <si>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</si>
  <si>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</si>
  <si>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</si>
  <si>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</si>
  <si>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</si>
  <si>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</si>
  <si>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</si>
  <si>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</si>
  <si>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</si>
  <si>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</si>
  <si>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</si>
  <si>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</si>
  <si>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</si>
  <si>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</si>
  <si>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</si>
  <si>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</si>
  <si>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</si>
  <si>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</si>
  <si>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</si>
  <si>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</si>
  <si>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</si>
  <si>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</si>
  <si>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</si>
  <si>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</si>
  <si>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</si>
  <si>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</si>
  <si>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</si>
  <si>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</si>
  <si>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</si>
  <si>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</si>
  <si>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</si>
  <si>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</si>
  <si>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</si>
  <si>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</si>
  <si>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</si>
  <si>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</si>
  <si>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</si>
  <si>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</si>
  <si>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</si>
  <si>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</si>
  <si>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</si>
  <si>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</si>
  <si>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</si>
  <si>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</si>
  <si>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</si>
  <si>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</si>
  <si>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</si>
  <si>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</si>
  <si>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</si>
  <si>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</si>
  <si>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</si>
  <si>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</si>
  <si>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</si>
  <si>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</si>
  <si>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</si>
  <si>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</si>
  <si>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</si>
  <si>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</si>
  <si>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</si>
  <si>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</si>
  <si>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</si>
  <si>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</si>
  <si>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</si>
  <si>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</si>
  <si>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</si>
  <si>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</si>
  <si>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</si>
  <si>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</si>
  <si>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</si>
  <si>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</si>
  <si>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</si>
  <si>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</si>
  <si>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</si>
  <si>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</si>
  <si>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</si>
  <si>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</si>
  <si>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</si>
  <si>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</si>
  <si>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</si>
  <si>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</si>
  <si>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</si>
  <si>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</si>
  <si>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</si>
  <si>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</si>
  <si>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</si>
  <si>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</si>
  <si>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</si>
  <si>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</si>
  <si>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</si>
  <si>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</si>
  <si>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</si>
  <si>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</si>
  <si>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</si>
  <si>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</si>
  <si>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</si>
  <si>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</si>
  <si>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</si>
  <si>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</si>
  <si>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</si>
  <si>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</si>
  <si>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</si>
  <si>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</si>
  <si>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</si>
  <si>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</si>
  <si>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</si>
  <si>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</si>
  <si>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</si>
  <si>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</si>
  <si>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</si>
  <si>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</si>
  <si>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</si>
  <si>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</si>
  <si>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</si>
  <si>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</si>
  <si>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</si>
  <si>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</si>
  <si>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</si>
  <si>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</si>
  <si>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</si>
  <si>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</si>
  <si>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</si>
  <si>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</si>
  <si>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</si>
  <si>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</si>
  <si>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</si>
  <si>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</si>
  <si>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</si>
  <si>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</si>
  <si>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</si>
  <si>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</si>
  <si>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</si>
  <si>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</si>
  <si>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</si>
  <si>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</si>
  <si>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</si>
  <si>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</si>
  <si>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</si>
  <si>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</si>
  <si>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</si>
  <si>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</si>
  <si>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</si>
  <si>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</si>
  <si>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</si>
  <si>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</si>
  <si>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</si>
  <si>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</si>
  <si>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</si>
  <si>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</si>
  <si>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</si>
  <si>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</si>
  <si>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</si>
  <si>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</si>
  <si>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</si>
  <si>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</si>
  <si>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</si>
  <si>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</si>
  <si>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</si>
  <si>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</si>
  <si>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</si>
  <si>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</si>
  <si>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</si>
  <si>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</si>
  <si>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</si>
  <si>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</si>
  <si>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</si>
  <si>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</si>
  <si>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</si>
  <si>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</si>
  <si>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</si>
  <si>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</si>
  <si>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</si>
  <si>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</si>
  <si>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</si>
  <si>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</si>
  <si>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</si>
  <si>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</si>
  <si>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</si>
  <si>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</si>
  <si>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</si>
  <si>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</si>
  <si>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</si>
  <si>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</si>
  <si>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</si>
  <si>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</si>
  <si>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</si>
  <si>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</si>
  <si>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</si>
  <si>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</si>
  <si>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</si>
  <si>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</si>
  <si>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</si>
  <si>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</si>
  <si>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</si>
  <si>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</si>
  <si>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</si>
  <si>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</si>
  <si>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</si>
  <si>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</si>
  <si>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</si>
  <si>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</si>
  <si>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</si>
  <si>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</si>
  <si>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</si>
  <si>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</si>
  <si>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</si>
  <si>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</si>
  <si>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</si>
  <si>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</si>
  <si>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</si>
  <si>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</si>
  <si>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</si>
  <si>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</si>
  <si>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</si>
  <si>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</si>
  <si>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</si>
  <si>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</si>
  <si>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</si>
  <si>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</si>
  <si>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</si>
  <si>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</si>
  <si>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</si>
  <si>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</si>
  <si>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</si>
  <si>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</si>
  <si>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</si>
  <si>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</si>
  <si>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</si>
  <si>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</si>
  <si>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</si>
  <si>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</si>
  <si>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</si>
  <si>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</si>
  <si>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</si>
  <si>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</si>
  <si>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</si>
  <si>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</si>
  <si>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</si>
  <si>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</si>
  <si>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</si>
  <si>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</si>
  <si>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</si>
  <si>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</si>
  <si>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</si>
  <si>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</si>
  <si>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</si>
  <si>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</si>
  <si>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</si>
  <si>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</si>
  <si>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</si>
  <si>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</si>
  <si>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</si>
  <si>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</si>
  <si>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</si>
  <si>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</si>
  <si>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</si>
  <si>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</si>
  <si>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</si>
  <si>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</si>
  <si>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</si>
  <si>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</si>
  <si>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</si>
  <si>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</si>
  <si>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</si>
  <si>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</si>
  <si>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</si>
  <si>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</si>
  <si>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</si>
  <si>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</si>
  <si>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</si>
  <si>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</si>
  <si>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</si>
  <si>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</si>
  <si>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</si>
  <si>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</si>
  <si>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</si>
  <si>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</si>
  <si>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</si>
  <si>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</si>
  <si>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</si>
  <si>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</si>
  <si>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</si>
  <si>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</si>
  <si>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</si>
  <si>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</si>
  <si>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</si>
  <si>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</si>
  <si>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</si>
  <si>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</si>
  <si>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</si>
  <si>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</si>
  <si>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</si>
  <si>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</si>
  <si>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</si>
  <si>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</si>
  <si>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</si>
  <si>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</si>
  <si>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</si>
  <si>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</si>
  <si>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</si>
  <si>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</si>
  <si>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</si>
  <si>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</si>
  <si>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</si>
  <si>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</si>
  <si>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</si>
  <si>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</si>
  <si>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</si>
  <si>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</si>
  <si>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</si>
  <si>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</si>
  <si>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</si>
  <si>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</si>
  <si>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</si>
  <si>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</si>
  <si>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</si>
  <si>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</si>
  <si>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</si>
  <si>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</si>
  <si>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</si>
  <si>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</si>
  <si>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</si>
  <si>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</si>
  <si>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</si>
  <si>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</si>
  <si>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</si>
  <si>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</si>
  <si>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</si>
  <si>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</si>
  <si>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</si>
  <si>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</si>
  <si>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</si>
  <si>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</si>
  <si>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</si>
  <si>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</si>
  <si>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</si>
  <si>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</si>
  <si>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</si>
  <si>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</si>
  <si>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</si>
  <si>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</si>
  <si>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</si>
  <si>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</si>
  <si>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</si>
  <si>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</si>
  <si>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</si>
  <si>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</si>
  <si>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</si>
  <si>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</si>
  <si>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</si>
  <si>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</si>
  <si>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</si>
  <si>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</si>
  <si>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</si>
  <si>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</si>
  <si>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</si>
  <si>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</si>
  <si>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</si>
  <si>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</si>
  <si>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</si>
  <si>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</si>
  <si>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</si>
  <si>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</si>
  <si>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</si>
  <si>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</si>
  <si>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</si>
  <si>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</si>
  <si>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</si>
  <si>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</si>
  <si>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</si>
  <si>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</si>
  <si>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</si>
  <si>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</si>
  <si>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</si>
  <si>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</si>
  <si>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</si>
  <si>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</si>
  <si>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</si>
  <si>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</si>
  <si>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</si>
  <si>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</si>
  <si>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</si>
  <si>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</si>
  <si>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</si>
  <si>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</si>
  <si>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</si>
  <si>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</si>
  <si>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</si>
  <si>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</si>
  <si>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</si>
  <si>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</si>
  <si>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</si>
  <si>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</si>
  <si>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</si>
  <si>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</si>
  <si>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</si>
  <si>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</si>
  <si>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</si>
  <si>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</si>
  <si>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</si>
  <si>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</si>
  <si>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</si>
  <si>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</si>
  <si>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</si>
  <si>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</si>
  <si>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</si>
  <si>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</si>
  <si>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</si>
  <si>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</si>
  <si>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</si>
  <si>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</si>
  <si>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</si>
  <si>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</si>
  <si>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</si>
  <si>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</si>
  <si>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</si>
  <si>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</si>
  <si>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</si>
  <si>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</si>
  <si>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</si>
  <si>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</si>
  <si>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</si>
  <si>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</si>
  <si>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</si>
  <si>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</si>
  <si>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</si>
  <si>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</si>
  <si>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</si>
  <si>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</si>
  <si>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</si>
  <si>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</si>
  <si>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</si>
  <si>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</si>
  <si>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</si>
  <si>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</si>
  <si>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</si>
  <si>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</si>
  <si>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</si>
  <si>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</si>
  <si>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</si>
  <si>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</si>
  <si>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</si>
  <si>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</si>
  <si>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</si>
  <si>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</si>
  <si>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</si>
  <si>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</si>
  <si>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</si>
  <si>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</si>
  <si>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</si>
  <si>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</si>
  <si>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</si>
  <si>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</si>
  <si>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</si>
  <si>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</si>
  <si>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</si>
  <si>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</si>
  <si>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</si>
  <si>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</si>
  <si>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</si>
  <si>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</si>
  <si>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</si>
  <si>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</si>
  <si>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</si>
  <si>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</si>
  <si>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</si>
  <si>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</si>
  <si>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</si>
  <si>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</si>
  <si>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</si>
  <si>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</si>
  <si>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</si>
  <si>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</si>
  <si>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</si>
  <si>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</si>
  <si>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</si>
  <si>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</si>
  <si>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</si>
  <si>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</si>
  <si>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</si>
  <si>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</si>
  <si>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</si>
  <si>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</si>
  <si>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</si>
  <si>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</si>
  <si>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</si>
  <si>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</si>
  <si>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</si>
  <si>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</si>
  <si>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</si>
  <si>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</si>
  <si>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</si>
  <si>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</si>
  <si>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</si>
  <si>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</si>
  <si>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</si>
  <si>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</si>
  <si>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</si>
  <si>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</si>
  <si>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</si>
  <si>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</si>
  <si>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</si>
  <si>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</si>
  <si>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</si>
  <si>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</si>
  <si>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</si>
  <si>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</si>
  <si>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</si>
  <si>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</si>
  <si>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</si>
  <si>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</si>
  <si>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</si>
  <si>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</si>
  <si>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</si>
  <si>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</si>
  <si>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</si>
  <si>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</si>
  <si>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</si>
  <si>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</si>
  <si>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</si>
  <si>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</si>
  <si>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</si>
  <si>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</si>
  <si>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</si>
  <si>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</si>
  <si>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</si>
  <si>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</si>
  <si>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</si>
  <si>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</si>
  <si>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</si>
  <si>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</si>
  <si>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</si>
  <si>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</si>
  <si>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</si>
  <si>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</si>
  <si>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</si>
  <si>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</si>
  <si>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</si>
  <si>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</si>
  <si>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</si>
  <si>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</si>
  <si>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</si>
  <si>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</si>
  <si>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</si>
  <si>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</si>
  <si>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</si>
  <si>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</si>
  <si>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</si>
  <si>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</si>
  <si>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</si>
  <si>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</si>
  <si>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</si>
  <si>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</si>
  <si>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</si>
  <si>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</si>
  <si>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</si>
  <si>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</si>
  <si>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</si>
  <si>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</si>
  <si>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</si>
  <si>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</si>
  <si>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</si>
  <si>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</si>
  <si>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</si>
  <si>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</si>
  <si>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</si>
  <si>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</si>
  <si>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</si>
  <si>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</si>
  <si>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</si>
  <si>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</si>
  <si>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</si>
  <si>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</si>
  <si>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</si>
  <si>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</si>
  <si>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</si>
  <si>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</si>
  <si>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</si>
  <si>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</si>
  <si>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</si>
  <si>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</si>
  <si>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</si>
  <si>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</si>
  <si>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</si>
  <si>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</si>
  <si>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</si>
  <si>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</si>
  <si>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</si>
  <si>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</si>
  <si>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</si>
  <si>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</si>
  <si>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</si>
  <si>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</si>
  <si>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</si>
  <si>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</si>
  <si>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</si>
  <si>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</si>
  <si>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</si>
  <si>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</si>
  <si>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</si>
  <si>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</si>
  <si>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</si>
  <si>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</si>
  <si>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</si>
  <si>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</si>
  <si>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</si>
  <si>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</si>
  <si>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</si>
  <si>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</si>
  <si>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</si>
  <si>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</si>
  <si>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</si>
  <si>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</si>
  <si>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</si>
  <si>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</si>
  <si>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</si>
  <si>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</si>
  <si>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</si>
  <si>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</si>
  <si>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</si>
  <si>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</si>
  <si>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</si>
  <si>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</si>
  <si>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</si>
  <si>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</si>
  <si>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</si>
  <si>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</si>
  <si>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</si>
  <si>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</si>
  <si>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</si>
  <si>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</si>
  <si>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</si>
  <si>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</si>
  <si>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</si>
  <si>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</si>
  <si>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</si>
  <si>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</si>
  <si>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</si>
  <si>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</si>
  <si>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</si>
  <si>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</si>
  <si>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</si>
  <si>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</si>
  <si>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</si>
  <si>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</si>
  <si>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</si>
  <si>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</si>
  <si>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</si>
  <si>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</si>
  <si>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</si>
  <si>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</si>
  <si>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</si>
  <si>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</si>
  <si>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</si>
  <si>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</si>
  <si>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</si>
  <si>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</si>
  <si>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</si>
  <si>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</si>
  <si>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</si>
  <si>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</si>
  <si>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</si>
  <si>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</si>
  <si>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</si>
  <si>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</si>
  <si>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</si>
  <si>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</si>
  <si>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</si>
  <si>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</si>
  <si>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</si>
  <si>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</si>
  <si>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</si>
  <si>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</si>
  <si>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</si>
  <si>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</si>
  <si>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</si>
  <si>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</si>
  <si>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</si>
  <si>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</si>
  <si>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</si>
  <si>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</si>
  <si>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</si>
  <si>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</si>
  <si>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</si>
  <si>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</si>
  <si>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</si>
  <si>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</si>
  <si>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</si>
  <si>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</si>
  <si>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</si>
  <si>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</si>
  <si>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</si>
  <si>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</si>
  <si>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</si>
  <si>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</si>
  <si>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</si>
  <si>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</si>
  <si>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</si>
  <si>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</si>
  <si>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</si>
  <si>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</si>
  <si>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</si>
  <si>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</si>
  <si>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</si>
  <si>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</si>
  <si>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</si>
  <si>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</si>
  <si>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</si>
  <si>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</si>
  <si>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</si>
  <si>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</si>
  <si>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</si>
  <si>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</si>
  <si>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</si>
  <si>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</si>
  <si>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</si>
  <si>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</si>
  <si>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</si>
  <si>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</si>
  <si>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</si>
  <si>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</si>
  <si>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</si>
  <si>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</si>
  <si>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</si>
  <si>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</si>
  <si>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</si>
  <si>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</si>
  <si>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</si>
  <si>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</si>
  <si>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</si>
  <si>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</si>
  <si>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</si>
  <si>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</si>
  <si>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</si>
  <si>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</si>
  <si>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</si>
  <si>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</si>
  <si>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</si>
  <si>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</si>
  <si>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</si>
  <si>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</si>
  <si>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</si>
  <si>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</si>
  <si>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</si>
  <si>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</si>
  <si>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</si>
  <si>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</si>
  <si>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</si>
  <si>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</si>
  <si>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</si>
  <si>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</si>
  <si>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</si>
  <si>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</si>
  <si>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</si>
  <si>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</si>
  <si>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</si>
  <si>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</si>
  <si>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</si>
  <si>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</si>
  <si>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</si>
  <si>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</si>
  <si>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</si>
  <si>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</si>
  <si>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</si>
  <si>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</si>
  <si>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</si>
  <si>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</si>
  <si>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</si>
  <si>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</si>
  <si>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</si>
  <si>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</si>
  <si>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</si>
  <si>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</si>
  <si>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</si>
  <si>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</si>
  <si>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</si>
  <si>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</si>
  <si>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</si>
  <si>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</si>
  <si>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</si>
  <si>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</si>
  <si>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</si>
  <si>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</si>
  <si>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</si>
  <si>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</si>
  <si>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</si>
  <si>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</si>
  <si>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</si>
  <si>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</si>
  <si>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</si>
  <si>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</si>
  <si>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</si>
  <si>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</si>
  <si>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</si>
  <si>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</si>
  <si>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</si>
  <si>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</si>
  <si>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</si>
  <si>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</si>
  <si>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</si>
  <si>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</si>
  <si>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</si>
  <si>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</si>
  <si>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</si>
  <si>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</si>
  <si>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</si>
  <si>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</si>
  <si>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</si>
  <si>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</si>
  <si>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</si>
  <si>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</si>
  <si>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</si>
  <si>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</si>
  <si>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</si>
  <si>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</si>
  <si>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</si>
  <si>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</si>
  <si>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</si>
  <si>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</si>
  <si>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</si>
  <si>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</si>
  <si>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</si>
  <si>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</si>
  <si>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</si>
  <si>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</si>
  <si>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</si>
  <si>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</si>
  <si>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</si>
  <si>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</si>
  <si>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</si>
  <si>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</si>
  <si>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</si>
  <si>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</si>
  <si>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</si>
  <si>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</si>
  <si>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</si>
  <si>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</si>
  <si>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</si>
  <si>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</si>
  <si>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</si>
  <si>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</si>
  <si>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</si>
  <si>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</si>
  <si>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</si>
  <si>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</si>
  <si>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</si>
  <si>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</si>
  <si>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</si>
  <si>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</si>
  <si>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</si>
  <si>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</si>
  <si>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</si>
  <si>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</si>
  <si>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</si>
  <si>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</si>
  <si>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</si>
  <si>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</si>
  <si>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</si>
  <si>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</si>
  <si>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</si>
  <si>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</si>
  <si>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</si>
  <si>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</si>
  <si>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</si>
  <si>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</si>
  <si>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</si>
  <si>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</si>
  <si>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</si>
  <si>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</si>
  <si>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</si>
  <si>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</si>
  <si>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</si>
  <si>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</si>
  <si>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</si>
  <si>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</si>
  <si>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</si>
  <si>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</si>
  <si>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</si>
  <si>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</si>
  <si>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</si>
  <si>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</si>
  <si>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</si>
  <si>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</si>
  <si>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</si>
  <si>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</si>
  <si>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</si>
  <si>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</si>
  <si>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</si>
  <si>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</si>
  <si>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</si>
  <si>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</si>
  <si>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</si>
  <si>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</si>
  <si>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</si>
  <si>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</si>
  <si>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</si>
  <si>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</si>
  <si>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</si>
  <si>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</si>
  <si>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</si>
  <si>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</si>
  <si>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</si>
  <si>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</si>
  <si>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</si>
  <si>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</si>
  <si>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</si>
  <si>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</si>
  <si>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</si>
  <si>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</si>
  <si>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</si>
  <si>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</si>
  <si>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</si>
  <si>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</si>
  <si>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</si>
  <si>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</si>
  <si>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</si>
  <si>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</si>
  <si>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</si>
  <si>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</si>
  <si>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</si>
  <si>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</si>
  <si>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</si>
  <si>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</si>
  <si>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</si>
  <si>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</si>
  <si>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</si>
  <si>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</si>
  <si>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</si>
  <si>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</si>
  <si>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</si>
  <si>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</si>
  <si>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</si>
  <si>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</si>
  <si>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</si>
  <si>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</si>
  <si>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</si>
  <si>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</si>
  <si>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</si>
  <si>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</si>
  <si>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</si>
  <si>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</si>
  <si>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</si>
  <si>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</si>
  <si>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</si>
  <si>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</si>
  <si>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</si>
  <si>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</si>
  <si>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</si>
  <si>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</si>
  <si>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</si>
  <si>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</si>
  <si>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</si>
  <si>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</si>
  <si>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</si>
  <si>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</si>
  <si>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</si>
  <si>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</si>
  <si>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</si>
  <si>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</si>
  <si>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</si>
  <si>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</si>
  <si>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</si>
  <si>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</si>
  <si>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</si>
  <si>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</si>
  <si>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</si>
  <si>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</si>
  <si>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</si>
  <si>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</si>
  <si>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</si>
  <si>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</si>
  <si>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</si>
  <si>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</si>
  <si>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</si>
  <si>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</si>
  <si>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</si>
  <si>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</si>
  <si>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</si>
  <si>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</si>
  <si>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</si>
  <si>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</si>
  <si>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</si>
  <si>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</si>
  <si>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</si>
  <si>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</si>
  <si>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</si>
  <si>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</si>
  <si>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</si>
  <si>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</si>
  <si>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</si>
  <si>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</si>
  <si>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</si>
  <si>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</si>
  <si>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</si>
  <si>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</si>
  <si>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</si>
  <si>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</si>
  <si>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</si>
  <si>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</si>
  <si>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</si>
  <si>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</si>
  <si>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</si>
  <si>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</si>
  <si>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</si>
  <si>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</si>
  <si>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</si>
  <si>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</si>
  <si>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</si>
  <si>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</si>
  <si>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</si>
  <si>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</si>
  <si>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</si>
  <si>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</si>
  <si>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</si>
  <si>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</si>
  <si>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</si>
  <si>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</si>
  <si>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</si>
  <si>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</si>
  <si>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</si>
  <si>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</si>
  <si>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</si>
  <si>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</si>
  <si>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</si>
  <si>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</si>
  <si>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</si>
  <si>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</si>
  <si>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</si>
  <si>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</si>
  <si>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</si>
  <si>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</si>
  <si>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</si>
  <si>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</si>
  <si>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</si>
  <si>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</si>
  <si>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</si>
  <si>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</si>
  <si>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</si>
  <si>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</si>
  <si>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</si>
  <si>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</si>
  <si>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</si>
  <si>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</si>
  <si>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</si>
  <si>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</si>
  <si>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</si>
  <si>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</si>
  <si>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</si>
  <si>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</si>
  <si>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</si>
  <si>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</si>
  <si>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</si>
  <si>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</si>
  <si>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</si>
  <si>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</si>
  <si>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</si>
  <si>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</si>
  <si>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</si>
  <si>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</si>
  <si>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</si>
  <si>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</si>
  <si>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</si>
  <si>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</si>
  <si>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</si>
  <si>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</si>
  <si>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</si>
  <si>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</si>
  <si>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</si>
  <si>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</si>
  <si>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</si>
  <si>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</si>
  <si>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</si>
  <si>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</si>
  <si>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</si>
  <si>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</si>
  <si>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</si>
  <si>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</si>
  <si>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</si>
  <si>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</si>
  <si>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</si>
  <si>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</si>
  <si>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</si>
  <si>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</si>
  <si>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</si>
  <si>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</si>
  <si>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</si>
  <si>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</si>
  <si>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</si>
  <si>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</si>
  <si>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</si>
  <si>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</si>
  <si>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</si>
  <si>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</si>
  <si>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</si>
  <si>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</si>
  <si>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</si>
  <si>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</si>
  <si>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</si>
  <si>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</si>
  <si>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</si>
  <si>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</si>
  <si>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</si>
  <si>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</si>
  <si>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</si>
  <si>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</si>
  <si>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</si>
  <si>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</si>
  <si>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</si>
  <si>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</si>
  <si>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</si>
  <si>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</si>
  <si>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</si>
  <si>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</si>
  <si>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</si>
  <si>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</si>
  <si>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</si>
  <si>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</si>
  <si>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</si>
  <si>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</si>
  <si>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</si>
  <si>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</si>
  <si>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</si>
  <si>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</si>
  <si>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</si>
  <si>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</si>
  <si>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</si>
  <si>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</si>
  <si>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</si>
  <si>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</si>
  <si>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</si>
  <si>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</si>
  <si>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</si>
  <si>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</si>
  <si>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</si>
  <si>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</si>
  <si>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</si>
  <si>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</si>
  <si>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</si>
  <si>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</si>
  <si>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</si>
  <si>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</si>
  <si>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</si>
  <si>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</si>
  <si>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</si>
  <si>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</si>
  <si>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</si>
  <si>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</si>
  <si>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</si>
  <si>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</si>
  <si>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</si>
  <si>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</si>
  <si>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</si>
  <si>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</si>
  <si>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</si>
  <si>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</si>
  <si>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</si>
  <si>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</si>
  <si>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</si>
  <si>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</si>
  <si>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</si>
  <si>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</si>
  <si>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</si>
  <si>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</si>
  <si>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</si>
  <si>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</si>
  <si>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</si>
  <si>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</si>
  <si>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</si>
  <si>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</si>
  <si>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</si>
  <si>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</si>
  <si>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</si>
  <si>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</si>
  <si>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</si>
  <si>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</si>
  <si>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</si>
  <si>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</si>
  <si>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</si>
  <si>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</si>
  <si>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</si>
  <si>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</si>
  <si>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</si>
  <si>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</si>
  <si>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</si>
  <si>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</si>
  <si>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</si>
  <si>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</si>
  <si>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</si>
  <si>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</si>
  <si>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</si>
  <si>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</si>
  <si>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</si>
  <si>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</si>
  <si>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</si>
  <si>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</si>
  <si>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</si>
  <si>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</si>
  <si>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</si>
  <si>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</si>
  <si>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</si>
  <si>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</si>
  <si>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</si>
  <si>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</si>
  <si>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</si>
  <si>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</si>
  <si>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</si>
  <si>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</si>
  <si>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</si>
  <si>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</si>
  <si>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</si>
  <si>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</si>
  <si>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</si>
  <si>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</si>
  <si>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</si>
  <si>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</si>
  <si>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</si>
  <si>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</si>
  <si>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</si>
  <si>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</si>
  <si>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</si>
  <si>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</si>
  <si>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</si>
  <si>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</si>
  <si>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</si>
  <si>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</si>
  <si>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</si>
  <si>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</si>
  <si>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</si>
  <si>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</si>
  <si>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</si>
  <si>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</si>
  <si>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</si>
  <si>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</si>
  <si>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</si>
  <si>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</si>
  <si>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</si>
  <si>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</si>
  <si>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</si>
  <si>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</si>
  <si>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</si>
  <si>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</si>
  <si>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</si>
  <si>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</si>
  <si>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</si>
  <si>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</si>
  <si>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</si>
  <si>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</si>
  <si>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</si>
  <si>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</si>
  <si>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</si>
  <si>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</si>
  <si>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</si>
  <si>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</si>
  <si>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</si>
  <si>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</si>
  <si>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</si>
  <si>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</si>
  <si>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</si>
  <si>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</si>
  <si>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</si>
  <si>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</si>
  <si>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</si>
  <si>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</si>
  <si>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</si>
  <si>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</si>
  <si>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</si>
  <si>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</si>
  <si>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</si>
  <si>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</si>
  <si>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</si>
  <si>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</si>
  <si>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</si>
  <si>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</si>
  <si>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</si>
  <si>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</si>
  <si>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</si>
  <si>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</si>
  <si>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</si>
  <si>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</si>
  <si>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</si>
  <si>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</si>
  <si>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</si>
  <si>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</si>
  <si>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</si>
  <si>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</si>
  <si>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</si>
  <si>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</si>
  <si>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</si>
  <si>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</si>
  <si>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</si>
  <si>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</si>
  <si>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</si>
  <si>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</si>
  <si>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</si>
  <si>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</si>
  <si>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</si>
  <si>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</si>
  <si>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</si>
  <si>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</si>
  <si>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</si>
  <si>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</si>
  <si>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</si>
  <si>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</si>
  <si>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</si>
  <si>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</si>
  <si>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</si>
  <si>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</si>
  <si>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</si>
  <si>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</si>
  <si>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</si>
  <si>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</si>
  <si>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</si>
  <si>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</si>
  <si>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</si>
  <si>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</si>
  <si>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</si>
  <si>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</si>
  <si>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</si>
  <si>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</si>
  <si>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</si>
  <si>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</si>
  <si>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</si>
  <si>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</si>
  <si>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</si>
  <si>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</si>
  <si>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</si>
  <si>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</si>
  <si>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</si>
  <si>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</si>
  <si>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</si>
  <si>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</si>
  <si>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</si>
  <si>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</si>
  <si>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</si>
  <si>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</si>
  <si>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</si>
  <si>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</si>
  <si>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</si>
  <si>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</si>
  <si>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</si>
  <si>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</si>
  <si>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</si>
  <si>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</si>
  <si>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</si>
  <si>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</si>
  <si>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</si>
  <si>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</si>
  <si>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</si>
  <si>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</si>
  <si>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</si>
  <si>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</si>
  <si>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</si>
  <si>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</si>
  <si>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</si>
  <si>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</si>
  <si>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</si>
  <si>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</si>
  <si>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</si>
  <si>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</si>
  <si>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</si>
  <si>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</si>
  <si>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</si>
  <si>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</si>
  <si>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</si>
  <si>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</si>
  <si>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</si>
  <si>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</si>
  <si>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</si>
  <si>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</si>
  <si>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</si>
  <si>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</si>
  <si>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</si>
  <si>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</si>
  <si>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</si>
  <si>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</si>
  <si>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</si>
  <si>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</si>
  <si>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</si>
  <si>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</si>
  <si>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</si>
  <si>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</si>
  <si>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</si>
  <si>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</si>
  <si>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</si>
  <si>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</si>
  <si>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</si>
  <si>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</si>
  <si>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</si>
  <si>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</si>
  <si>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</si>
  <si>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</si>
  <si>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</si>
  <si>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</si>
  <si>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</si>
  <si>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</si>
  <si>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</si>
  <si>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</si>
  <si>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</si>
  <si>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</si>
  <si>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</si>
  <si>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</si>
  <si>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</si>
  <si>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</si>
  <si>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</si>
  <si>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</si>
  <si>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</si>
  <si>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</si>
  <si>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</si>
  <si>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</si>
  <si>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</si>
  <si>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</si>
  <si>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</si>
  <si>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</si>
  <si>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</si>
  <si>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</si>
  <si>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</si>
  <si>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</si>
  <si>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</si>
  <si>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</si>
  <si>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</si>
  <si>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</si>
  <si>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</si>
  <si>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</si>
  <si>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</si>
  <si>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</si>
  <si>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</si>
  <si>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</si>
  <si>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</si>
  <si>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</si>
  <si>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</si>
  <si>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</si>
  <si>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</si>
  <si>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</si>
  <si>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</si>
  <si>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</si>
  <si>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</si>
  <si>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</si>
  <si>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</si>
  <si>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</si>
  <si>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</si>
  <si>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</si>
  <si>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</si>
  <si>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</si>
  <si>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</si>
  <si>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</si>
  <si>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</si>
  <si>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</si>
  <si>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</si>
  <si>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</si>
  <si>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</si>
  <si>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</si>
  <si>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</si>
  <si>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</si>
  <si>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</si>
  <si>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</si>
  <si>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</si>
  <si>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</si>
  <si>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</si>
  <si>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</si>
  <si>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</si>
  <si>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</si>
  <si>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</si>
  <si>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</si>
  <si>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</si>
  <si>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</si>
  <si>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</si>
  <si>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</si>
  <si>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</si>
  <si>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</si>
  <si>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</si>
  <si>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</si>
  <si>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</si>
  <si>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</si>
  <si>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</si>
  <si>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</si>
  <si>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</si>
  <si>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</si>
  <si>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</si>
  <si>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</si>
  <si>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</si>
  <si>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</si>
  <si>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</si>
  <si>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</si>
  <si>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</si>
  <si>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</si>
  <si>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</si>
  <si>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</si>
  <si>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</si>
  <si>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</si>
  <si>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</si>
  <si>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</si>
  <si>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</si>
  <si>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</si>
  <si>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</si>
  <si>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</si>
  <si>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</si>
  <si>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</si>
  <si>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</si>
  <si>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</si>
  <si>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</si>
  <si>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</si>
  <si>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</si>
  <si>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</si>
  <si>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</si>
  <si>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</si>
  <si>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</si>
  <si>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</si>
  <si>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</si>
  <si>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</si>
  <si>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</si>
  <si>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</si>
  <si>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</si>
  <si>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</si>
  <si>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</si>
  <si>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</si>
  <si>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</si>
  <si>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</si>
  <si>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</si>
  <si>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</si>
  <si>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</si>
  <si>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</si>
  <si>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</si>
  <si>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</si>
  <si>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</si>
  <si>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</si>
  <si>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</si>
  <si>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</si>
  <si>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</si>
  <si>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</si>
  <si>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</si>
  <si>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</si>
  <si>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</si>
  <si>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</si>
  <si>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</si>
  <si>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</si>
  <si>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</si>
  <si>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</si>
  <si>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</si>
  <si>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</si>
  <si>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</si>
  <si>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</si>
  <si>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</si>
  <si>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</si>
  <si>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</si>
  <si>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</si>
  <si>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</si>
  <si>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</si>
  <si>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</si>
  <si>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</si>
  <si>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</si>
  <si>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</si>
  <si>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</si>
  <si>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</si>
  <si>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</si>
  <si>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</si>
  <si>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</si>
  <si>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</si>
  <si>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</si>
  <si>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</si>
  <si>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</si>
  <si>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</si>
  <si>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</si>
  <si>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</si>
  <si>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</si>
  <si>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</si>
  <si>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</si>
  <si>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</si>
  <si>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</si>
  <si>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</si>
  <si>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</si>
  <si>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</si>
  <si>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</si>
  <si>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</si>
  <si>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</si>
  <si>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</si>
  <si>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</si>
  <si>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</si>
  <si>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</si>
  <si>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</si>
  <si>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</si>
  <si>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</si>
  <si>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</si>
  <si>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</si>
  <si>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</si>
  <si>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</si>
  <si>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</si>
  <si>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</si>
  <si>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</si>
  <si>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</si>
  <si>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</si>
  <si>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</si>
  <si>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</si>
  <si>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</si>
  <si>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</si>
  <si>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</si>
  <si>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</si>
  <si>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</si>
  <si>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</si>
  <si>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</si>
  <si>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</si>
  <si>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</si>
  <si>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</si>
  <si>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</si>
  <si>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</si>
  <si>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</si>
  <si>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</si>
  <si>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</si>
  <si>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</si>
  <si>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</si>
  <si>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</si>
  <si>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</si>
  <si>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</si>
  <si>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</si>
  <si>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</si>
  <si>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</si>
  <si>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</si>
  <si>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</si>
  <si>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</si>
  <si>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</si>
  <si>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</si>
  <si>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</si>
  <si>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</si>
  <si>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</si>
  <si>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</si>
  <si>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</si>
  <si>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</si>
  <si>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</si>
  <si>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</si>
  <si>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</si>
  <si>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</si>
  <si>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</si>
  <si>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</si>
  <si>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</si>
  <si>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</si>
  <si>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</si>
  <si>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</si>
  <si>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</si>
  <si>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</si>
  <si>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</si>
  <si>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</si>
  <si>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</si>
  <si>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</si>
  <si>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</si>
  <si>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</si>
  <si>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</si>
  <si>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</si>
  <si>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</si>
  <si>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</si>
  <si>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</si>
  <si>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</si>
  <si>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</si>
  <si>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</si>
  <si>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</si>
  <si>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</si>
  <si>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</si>
  <si>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</si>
  <si>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</si>
  <si>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</si>
  <si>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</si>
  <si>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</si>
  <si>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</si>
  <si>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</si>
  <si>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</si>
  <si>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</si>
  <si>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</si>
  <si>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</si>
  <si>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</si>
  <si>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</si>
  <si>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</si>
  <si>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</si>
  <si>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</si>
  <si>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</si>
  <si>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</si>
  <si>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</si>
  <si>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</si>
  <si>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</si>
  <si>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</si>
  <si>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</si>
  <si>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</si>
  <si>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</si>
  <si>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</si>
  <si>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</si>
  <si>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</si>
  <si>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</si>
  <si>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</si>
  <si>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</si>
  <si>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</si>
  <si>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</si>
  <si>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</si>
  <si>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</si>
  <si>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</si>
  <si>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</si>
  <si>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</si>
  <si>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</si>
  <si>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</si>
  <si>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</si>
  <si>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</si>
  <si>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</si>
  <si>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</si>
  <si>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</si>
  <si>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</si>
  <si>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</si>
  <si>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</si>
  <si>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</si>
  <si>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</si>
  <si>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</si>
  <si>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</si>
  <si>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</si>
  <si>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</si>
  <si>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</si>
  <si>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</si>
  <si>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</si>
  <si>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</si>
  <si>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</si>
  <si>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</si>
  <si>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</si>
  <si>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</si>
  <si>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</si>
  <si>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</si>
  <si>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</si>
  <si>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</si>
  <si>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</si>
  <si>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</si>
  <si>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</si>
  <si>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</si>
  <si>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</si>
  <si>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</si>
  <si>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</si>
  <si>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</si>
  <si>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</si>
  <si>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</si>
  <si>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</si>
  <si>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</si>
  <si>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</si>
  <si>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</si>
  <si>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</si>
  <si>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</si>
  <si>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</si>
  <si>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</si>
  <si>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</si>
  <si>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</si>
  <si>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</si>
  <si>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</si>
  <si>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</si>
  <si>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</si>
  <si>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</si>
  <si>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</si>
  <si>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</si>
  <si>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</si>
  <si>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</si>
  <si>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</si>
  <si>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</si>
  <si>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</si>
  <si>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</si>
  <si>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</si>
  <si>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</si>
  <si>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</si>
  <si>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</si>
  <si>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</si>
  <si>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</si>
  <si>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</si>
  <si>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</si>
  <si>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</si>
  <si>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</si>
  <si>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</si>
  <si>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</si>
  <si>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</si>
  <si>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</si>
  <si>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</si>
  <si>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</si>
  <si>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</si>
  <si>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</si>
  <si>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</si>
  <si>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</si>
  <si>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</si>
  <si>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</si>
  <si>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</si>
  <si>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</si>
  <si>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</si>
  <si>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</si>
  <si>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</si>
  <si>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</si>
  <si>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</si>
  <si>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</si>
  <si>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</si>
  <si>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</si>
  <si>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</si>
  <si>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</si>
  <si>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</si>
  <si>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</si>
  <si>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</si>
  <si>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</si>
  <si>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</si>
  <si>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</si>
  <si>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</si>
  <si>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</si>
  <si>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</si>
  <si>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</si>
  <si>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</si>
  <si>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</si>
  <si>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</si>
  <si>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</si>
  <si>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</si>
  <si>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</si>
  <si>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</si>
  <si>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</si>
  <si>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</si>
  <si>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</si>
  <si>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</si>
  <si>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</si>
  <si>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</si>
  <si>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</si>
  <si>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</si>
  <si>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</si>
  <si>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</si>
  <si>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</si>
  <si>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</si>
  <si>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</si>
  <si>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</si>
  <si>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</si>
  <si>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</si>
  <si>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</si>
  <si>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</si>
  <si>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</si>
  <si>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</si>
  <si>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</si>
  <si>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</si>
  <si>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</si>
  <si>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</si>
  <si>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</si>
  <si>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</si>
  <si>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</si>
  <si>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</si>
  <si>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</si>
  <si>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</si>
  <si>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</si>
  <si>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</si>
  <si>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</si>
  <si>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</si>
  <si>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</si>
  <si>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</si>
  <si>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</si>
  <si>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</si>
  <si>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</si>
  <si>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</si>
  <si>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</si>
  <si>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</si>
  <si>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</si>
  <si>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</si>
  <si>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</si>
  <si>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</si>
  <si>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</si>
  <si>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</si>
  <si>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</si>
  <si>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</si>
  <si>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</si>
  <si>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</si>
  <si>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</si>
  <si>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</si>
  <si>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</si>
  <si>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</si>
  <si>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</si>
  <si>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</si>
  <si>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</si>
  <si>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</si>
  <si>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</si>
  <si>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</si>
  <si>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</si>
  <si>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</si>
  <si>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</si>
  <si>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</si>
  <si>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</si>
  <si>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</si>
  <si>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</si>
  <si>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</si>
  <si>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</si>
  <si>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</si>
  <si>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</si>
  <si>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</si>
  <si>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</si>
  <si>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</si>
  <si>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</si>
  <si>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</si>
  <si>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</si>
  <si>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</si>
  <si>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</si>
  <si>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</si>
  <si>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</si>
  <si>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</si>
  <si>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</si>
  <si>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</si>
  <si>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</si>
  <si>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</si>
  <si>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</si>
  <si>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</si>
  <si>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</si>
  <si>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</si>
  <si>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</si>
  <si>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</si>
  <si>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</si>
  <si>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</si>
  <si>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</si>
  <si>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</si>
  <si>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</si>
  <si>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</si>
  <si>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</si>
  <si>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</si>
  <si>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</si>
  <si>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</si>
  <si>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</si>
  <si>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</si>
  <si>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</si>
  <si>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</si>
  <si>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</si>
  <si>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</si>
  <si>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</si>
  <si>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</si>
  <si>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</si>
  <si>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</si>
  <si>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</si>
  <si>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</si>
  <si>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</si>
  <si>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</si>
  <si>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</si>
  <si>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</si>
  <si>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</si>
  <si>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</si>
  <si>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</si>
  <si>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</si>
  <si>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</si>
  <si>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</si>
  <si>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</si>
  <si>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</si>
  <si>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</si>
  <si>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</si>
  <si>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</si>
  <si>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</si>
  <si>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</si>
  <si>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</si>
  <si>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</si>
  <si>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</si>
  <si>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</si>
  <si>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</si>
  <si>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</si>
  <si>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</si>
  <si>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</si>
  <si>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</si>
  <si>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</si>
  <si>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</si>
  <si>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</si>
  <si>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</si>
  <si>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</si>
  <si>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</si>
  <si>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</si>
  <si>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</si>
  <si>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</si>
  <si>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</si>
  <si>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</si>
  <si>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</si>
  <si>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</si>
  <si>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</si>
  <si>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</si>
  <si>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</si>
  <si>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</si>
  <si>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</si>
  <si>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</si>
  <si>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</si>
  <si>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</si>
  <si>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</si>
  <si>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</si>
  <si>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</si>
  <si>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</si>
  <si>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</si>
  <si>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</si>
  <si>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</si>
  <si>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</si>
  <si>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</si>
  <si>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</si>
  <si>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</si>
  <si>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</si>
  <si>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</si>
  <si>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</si>
  <si>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</si>
  <si>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</si>
  <si>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</si>
  <si>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</si>
  <si>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</si>
  <si>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</si>
  <si>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</si>
  <si>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</si>
  <si>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</si>
  <si>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</si>
  <si>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</si>
  <si>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</si>
  <si>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</si>
  <si>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</si>
  <si>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</si>
  <si>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</si>
  <si>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</si>
  <si>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</si>
  <si>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</si>
  <si>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</si>
  <si>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</si>
  <si>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</si>
  <si>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</si>
  <si>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</si>
  <si>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</si>
  <si>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</si>
  <si>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</si>
  <si>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</si>
  <si>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</si>
  <si>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</si>
  <si>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</si>
  <si>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</si>
  <si>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</si>
  <si>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</si>
  <si>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</si>
  <si>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</si>
  <si>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</si>
  <si>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</si>
  <si>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</si>
  <si>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</si>
  <si>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</si>
  <si>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</si>
  <si>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</si>
  <si>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</si>
  <si>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</si>
  <si>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</si>
  <si>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</si>
  <si>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</si>
  <si>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</si>
  <si>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</si>
  <si>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</si>
  <si>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</si>
  <si>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</si>
  <si>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</si>
  <si>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</si>
  <si>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</si>
  <si>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</si>
  <si>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</si>
  <si>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</si>
  <si>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</si>
  <si>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</si>
  <si>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</si>
  <si>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</si>
  <si>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</si>
  <si>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</si>
  <si>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</si>
  <si>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</si>
  <si>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</si>
  <si>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</si>
  <si>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</si>
  <si>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</si>
  <si>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</si>
  <si>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</si>
  <si>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</si>
  <si>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</si>
  <si>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</si>
  <si>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</si>
  <si>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</si>
  <si>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</si>
  <si>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</si>
  <si>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</si>
  <si>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</si>
  <si>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</si>
  <si>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</si>
  <si>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</si>
  <si>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</si>
  <si>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</si>
  <si>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</si>
  <si>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</si>
  <si>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</si>
  <si>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</si>
  <si>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</si>
  <si>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</si>
  <si>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</si>
  <si>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</si>
  <si>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</si>
  <si>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</si>
  <si>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</si>
  <si>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</si>
  <si>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</si>
  <si>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</si>
  <si>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</si>
  <si>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</si>
  <si>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</si>
  <si>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</si>
  <si>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</si>
  <si>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</si>
  <si>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</si>
  <si>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</si>
  <si>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</si>
  <si>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</si>
  <si>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</si>
  <si>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</si>
  <si>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</si>
  <si>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</si>
  <si>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</si>
  <si>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</si>
  <si>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</si>
  <si>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</si>
  <si>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</si>
  <si>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</si>
  <si>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</si>
  <si>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</si>
  <si>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</si>
  <si>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</si>
  <si>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</si>
  <si>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</si>
  <si>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</si>
  <si>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</si>
  <si>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</si>
  <si>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</si>
  <si>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</si>
  <si>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</si>
  <si>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</si>
  <si>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</si>
  <si>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</si>
  <si>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</si>
  <si>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</si>
  <si>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</si>
  <si>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</si>
  <si>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</si>
  <si>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</si>
  <si>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</si>
  <si>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</si>
  <si>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</si>
  <si>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</si>
  <si>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</si>
  <si>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</si>
  <si>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</si>
  <si>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</si>
  <si>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</si>
  <si>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</si>
  <si>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</si>
  <si>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</si>
  <si>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</si>
  <si>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</si>
  <si>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</si>
  <si>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</si>
  <si>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</si>
  <si>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</si>
  <si>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</si>
  <si>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</si>
  <si>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</si>
  <si>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</si>
  <si>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</si>
  <si>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</si>
  <si>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</si>
  <si>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</si>
  <si>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</si>
  <si>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</si>
  <si>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</si>
  <si>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</si>
  <si>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</si>
  <si>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</si>
  <si>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</si>
  <si>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</si>
  <si>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</si>
  <si>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</si>
  <si>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</si>
  <si>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</si>
  <si>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</si>
  <si>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</si>
  <si>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</si>
  <si>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</si>
  <si>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</si>
  <si>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</si>
  <si>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</si>
  <si>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</si>
  <si>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</si>
  <si>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</si>
  <si>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</si>
  <si>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</si>
  <si>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</si>
  <si>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</si>
  <si>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</si>
  <si>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</si>
  <si>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</si>
  <si>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</si>
  <si>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</si>
  <si>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</si>
  <si>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</si>
  <si>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</si>
  <si>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</si>
  <si>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</si>
  <si>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</si>
  <si>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</si>
  <si>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</si>
  <si>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</si>
  <si>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</si>
  <si>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</si>
  <si>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</si>
  <si>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</si>
  <si>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</si>
  <si>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</si>
  <si>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</si>
  <si>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</si>
  <si>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</si>
  <si>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</si>
  <si>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</si>
  <si>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</si>
  <si>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</si>
  <si>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</si>
  <si>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</si>
  <si>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</si>
  <si>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</si>
  <si>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</si>
  <si>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</si>
  <si>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</si>
  <si>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</si>
  <si>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</si>
  <si>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</si>
  <si>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</si>
  <si>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</si>
  <si>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</si>
  <si>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</si>
  <si>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</si>
  <si>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</si>
  <si>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</si>
  <si>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</si>
  <si>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</si>
  <si>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</si>
  <si>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</si>
  <si>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</si>
  <si>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</si>
  <si>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</si>
  <si>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</si>
  <si>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</si>
  <si>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</si>
  <si>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</si>
  <si>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</si>
  <si>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</si>
  <si>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</si>
  <si>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</si>
  <si>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</si>
  <si>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</si>
  <si>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</si>
  <si>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</si>
  <si>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</si>
  <si>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</si>
  <si>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</si>
  <si>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</si>
  <si>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</si>
  <si>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</si>
  <si>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</si>
  <si>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</si>
  <si>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</si>
  <si>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</si>
  <si>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</si>
  <si>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</si>
  <si>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</si>
  <si>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</si>
  <si>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</si>
  <si>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</si>
  <si>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</si>
  <si>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</si>
  <si>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</si>
  <si>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</si>
  <si>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</si>
  <si>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</si>
  <si>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</si>
  <si>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</si>
  <si>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</si>
  <si>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</si>
  <si>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</si>
  <si>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</si>
  <si>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</si>
  <si>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</si>
  <si>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</si>
  <si>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</si>
  <si>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</si>
  <si>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</si>
  <si>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</si>
  <si>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</si>
  <si>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</si>
  <si>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</si>
  <si>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</si>
  <si>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</si>
  <si>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</si>
  <si>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</si>
  <si>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</si>
  <si>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</si>
  <si>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</si>
  <si>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</si>
  <si>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</si>
  <si>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</si>
  <si>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</si>
  <si>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</si>
  <si>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</si>
  <si>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</si>
  <si>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</si>
  <si>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</si>
  <si>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</si>
  <si>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</si>
  <si>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</si>
  <si>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</si>
  <si>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</si>
  <si>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</si>
  <si>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</si>
  <si>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</si>
  <si>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</si>
  <si>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</si>
  <si>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</si>
  <si>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</si>
  <si>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</si>
  <si>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</si>
  <si>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</si>
  <si>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</si>
  <si>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</si>
  <si>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</si>
  <si>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</si>
  <si>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</si>
  <si>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</si>
  <si>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</si>
  <si>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</si>
  <si>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</si>
  <si>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</si>
  <si>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</si>
  <si>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</si>
  <si>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</si>
  <si>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</si>
  <si>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</si>
  <si>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</si>
  <si>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</si>
  <si>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</si>
  <si>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</si>
  <si>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</si>
  <si>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</si>
  <si>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</si>
  <si>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</si>
  <si>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</si>
  <si>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</si>
  <si>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</si>
  <si>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</si>
  <si>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</si>
  <si>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</si>
  <si>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</si>
  <si>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</si>
  <si>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</si>
  <si>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</si>
  <si>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</si>
  <si>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</si>
  <si>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</si>
  <si>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</si>
  <si>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</si>
  <si>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</si>
  <si>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</si>
  <si>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</si>
  <si>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</si>
  <si>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</si>
  <si>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</si>
  <si>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</si>
  <si>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</si>
  <si>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</si>
  <si>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</si>
  <si>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</si>
  <si>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</si>
  <si>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</si>
  <si>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</si>
  <si>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</si>
  <si>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</si>
  <si>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</si>
  <si>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</si>
  <si>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</si>
  <si>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</si>
  <si>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</si>
  <si>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</si>
  <si>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</si>
  <si>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</si>
  <si>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</si>
  <si>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</si>
  <si>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</si>
  <si>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</si>
  <si>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</si>
  <si>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</si>
  <si>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</si>
  <si>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</si>
  <si>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</si>
  <si>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</si>
  <si>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</si>
  <si>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</si>
  <si>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</si>
  <si>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</si>
  <si>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</si>
  <si>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</si>
  <si>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</si>
  <si>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</si>
  <si>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</si>
  <si>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</si>
  <si>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</si>
  <si>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</si>
  <si>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</si>
  <si>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</si>
  <si>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</si>
  <si>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</si>
  <si>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</si>
  <si>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</si>
  <si>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</si>
  <si>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</si>
  <si>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</si>
  <si>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</si>
  <si>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</si>
  <si>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</si>
  <si>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</si>
  <si>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</si>
  <si>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</si>
  <si>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</si>
  <si>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</si>
  <si>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</si>
  <si>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</si>
  <si>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</si>
  <si>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</si>
  <si>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</si>
  <si>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</si>
  <si>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</si>
  <si>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</si>
  <si>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</si>
  <si>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</si>
  <si>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</si>
  <si>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</si>
  <si>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</si>
  <si>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</si>
  <si>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</si>
  <si>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</si>
  <si>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</si>
  <si>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</si>
  <si>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</si>
  <si>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</si>
  <si>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</si>
  <si>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</si>
  <si>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</si>
  <si>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</si>
  <si>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</si>
  <si>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</si>
  <si>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</si>
  <si>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</si>
  <si>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</si>
  <si>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</si>
  <si>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</si>
  <si>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</si>
  <si>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</si>
  <si>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</si>
  <si>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</si>
  <si>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</si>
  <si>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</si>
  <si>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</si>
  <si>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</si>
  <si>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</si>
  <si>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</si>
  <si>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</si>
  <si>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</si>
  <si>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</si>
  <si>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</si>
  <si>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</si>
  <si>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</si>
  <si>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</si>
  <si>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</si>
  <si>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</si>
  <si>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</si>
  <si>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</si>
  <si>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</si>
  <si>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</si>
  <si>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</si>
  <si>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</si>
  <si>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</si>
  <si>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</si>
  <si>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</si>
  <si>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</si>
  <si>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</si>
  <si>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</si>
  <si>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</si>
  <si>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</si>
  <si>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</si>
  <si>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</si>
  <si>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</si>
  <si>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</si>
  <si>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</si>
  <si>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</si>
  <si>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</si>
  <si>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</si>
  <si>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</si>
  <si>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</si>
  <si>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</si>
  <si>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</si>
  <si>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</si>
  <si>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</si>
  <si>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</si>
  <si>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</si>
  <si>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</si>
  <si>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</si>
  <si>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</si>
  <si>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</si>
  <si>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</si>
  <si>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</si>
  <si>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</si>
  <si>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</si>
  <si>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</si>
  <si>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</si>
  <si>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</si>
  <si>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</si>
  <si>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</si>
  <si>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</si>
  <si>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</si>
  <si>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</si>
  <si>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</si>
  <si>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</si>
  <si>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</si>
  <si>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</si>
  <si>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</si>
  <si>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</si>
  <si>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</si>
  <si>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</si>
  <si>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</si>
  <si>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</si>
  <si>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</si>
  <si>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</si>
  <si>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</si>
  <si>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</si>
  <si>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</si>
  <si>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</si>
  <si>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</si>
  <si>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</si>
  <si>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</si>
  <si>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</si>
  <si>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</si>
  <si>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</si>
  <si>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</si>
  <si>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</si>
  <si>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</si>
  <si>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</si>
  <si>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</si>
  <si>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</si>
  <si>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</si>
  <si>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</si>
  <si>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</si>
  <si>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</si>
  <si>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</si>
  <si>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</si>
  <si>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</si>
  <si>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</si>
  <si>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</si>
  <si>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</si>
  <si>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</si>
  <si>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</si>
  <si>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</si>
  <si>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</si>
  <si>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</si>
  <si>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</si>
  <si>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</si>
  <si>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</si>
  <si>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</si>
  <si>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</si>
  <si>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</si>
  <si>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</si>
  <si>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</si>
  <si>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</si>
  <si>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</si>
  <si>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</si>
  <si>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</si>
  <si>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</si>
  <si>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</si>
  <si>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</si>
  <si>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</si>
  <si>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</si>
  <si>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</si>
  <si>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</si>
  <si>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</si>
  <si>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</si>
  <si>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</si>
  <si>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</si>
  <si>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</si>
  <si>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</si>
  <si>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</si>
  <si>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</si>
  <si>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</si>
  <si>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</si>
  <si>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</si>
  <si>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</si>
  <si>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</si>
  <si>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</si>
  <si>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</si>
  <si>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</si>
  <si>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</si>
  <si>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</si>
  <si>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</si>
  <si>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</si>
  <si>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</si>
  <si>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</si>
  <si>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</si>
  <si>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</si>
  <si>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</si>
  <si>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</si>
  <si>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</si>
  <si>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</si>
  <si>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</si>
  <si>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</si>
  <si>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</si>
  <si>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</si>
  <si>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</si>
  <si>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</si>
  <si>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</si>
  <si>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</si>
  <si>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</si>
  <si>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</si>
  <si>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</si>
  <si>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</si>
  <si>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</si>
  <si>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</si>
  <si>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</si>
  <si>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</si>
  <si>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</si>
  <si>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</si>
  <si>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</si>
  <si>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</si>
  <si>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</si>
  <si>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</si>
  <si>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</si>
  <si>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</si>
  <si>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</si>
  <si>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</si>
  <si>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</si>
  <si>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</si>
  <si>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</si>
  <si>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</si>
  <si>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</si>
  <si>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</si>
  <si>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</si>
  <si>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</si>
  <si>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</si>
  <si>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</si>
  <si>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</si>
  <si>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</si>
  <si>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</si>
  <si>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</si>
  <si>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</si>
  <si>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</si>
  <si>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</si>
  <si>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</si>
  <si>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</si>
  <si>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</si>
  <si>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</si>
  <si>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</si>
  <si>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</si>
  <si>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</si>
  <si>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</si>
  <si>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</si>
  <si>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</si>
  <si>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</si>
  <si>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</si>
  <si>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</si>
  <si>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</si>
  <si>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</si>
  <si>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</si>
  <si>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</si>
  <si>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</si>
  <si>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</si>
  <si>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</si>
  <si>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</si>
  <si>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</si>
  <si>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</si>
  <si>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</si>
  <si>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</si>
  <si>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</si>
  <si>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</si>
  <si>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</si>
  <si>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</si>
  <si>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</si>
  <si>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</si>
  <si>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</si>
  <si>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</si>
  <si>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</si>
  <si>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</si>
  <si>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</si>
  <si>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</si>
  <si>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</si>
  <si>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</si>
  <si>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</si>
  <si>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</si>
  <si>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</si>
  <si>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</si>
  <si>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</si>
  <si>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</si>
  <si>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</si>
  <si>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</si>
  <si>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</si>
  <si>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</si>
  <si>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</si>
  <si>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</si>
  <si>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</si>
  <si>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</si>
  <si>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</si>
  <si>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</si>
  <si>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</si>
  <si>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</si>
  <si>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</si>
  <si>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</si>
  <si>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</si>
  <si>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</si>
  <si>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</si>
  <si>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</si>
  <si>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</si>
  <si>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</si>
  <si>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</si>
  <si>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</si>
  <si>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</si>
  <si>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</si>
  <si>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</si>
  <si>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</si>
  <si>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</si>
  <si>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</si>
  <si>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</si>
  <si>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</si>
  <si>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</si>
  <si>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</si>
  <si>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</si>
  <si>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</si>
  <si>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</si>
  <si>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</si>
  <si>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</si>
  <si>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</si>
  <si>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</si>
  <si>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</si>
  <si>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</si>
  <si>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</si>
  <si>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</si>
  <si>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</si>
  <si>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</si>
  <si>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</si>
  <si>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</si>
  <si>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</si>
  <si>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</si>
  <si>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</si>
  <si>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</si>
  <si>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</si>
  <si>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</si>
  <si>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</si>
  <si>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</si>
  <si>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</si>
  <si>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</si>
  <si>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</si>
  <si>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</si>
  <si>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</si>
  <si>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</si>
  <si>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</si>
  <si>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</si>
  <si>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</si>
  <si>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</si>
  <si>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</si>
  <si>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</si>
  <si>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</si>
  <si>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</si>
  <si>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</si>
  <si>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</si>
  <si>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</si>
  <si>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</si>
  <si>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</si>
  <si>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</si>
  <si>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</si>
  <si>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</si>
  <si>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</si>
  <si>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</si>
  <si>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</si>
  <si>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</si>
  <si>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</si>
  <si>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</si>
  <si>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</si>
  <si>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</si>
  <si>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</si>
  <si>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</si>
  <si>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</si>
  <si>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</si>
  <si>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</si>
  <si>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</si>
  <si>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</si>
  <si>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</si>
  <si>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</si>
  <si>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</si>
  <si>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</si>
  <si>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</si>
  <si>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</si>
  <si>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</si>
  <si>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</si>
  <si>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</si>
  <si>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</si>
  <si>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</si>
  <si>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</si>
  <si>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</si>
  <si>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</si>
  <si>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</si>
  <si>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</si>
  <si>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</si>
  <si>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</si>
  <si>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</si>
  <si>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</si>
  <si>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</si>
  <si>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</si>
  <si>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</si>
  <si>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</si>
  <si>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</si>
  <si>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</si>
  <si>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</si>
  <si>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</si>
  <si>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</si>
  <si>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</si>
  <si>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</si>
  <si>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</si>
  <si>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</si>
  <si>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</si>
  <si>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</si>
  <si>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</si>
  <si>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</si>
  <si>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</si>
  <si>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</si>
  <si>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</si>
  <si>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</si>
  <si>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</si>
  <si>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</si>
  <si>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</si>
  <si>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</si>
  <si>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</si>
  <si>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</si>
  <si>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</si>
  <si>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</si>
  <si>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</si>
  <si>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</si>
  <si>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</si>
  <si>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</si>
  <si>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</si>
  <si>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</si>
  <si>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</si>
  <si>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</si>
  <si>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</si>
  <si>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</si>
  <si>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</si>
  <si>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</si>
  <si>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</si>
  <si>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</si>
  <si>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</si>
  <si>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</si>
  <si>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</si>
  <si>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</si>
  <si>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</si>
  <si>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</si>
  <si>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</si>
  <si>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</si>
  <si>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</si>
  <si>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</si>
  <si>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</si>
  <si>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</si>
  <si>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</si>
  <si>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</si>
  <si>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</si>
  <si>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</si>
  <si>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</si>
  <si>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</si>
  <si>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</si>
  <si>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</si>
  <si>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</si>
  <si>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</si>
  <si>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</si>
  <si>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</si>
  <si>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</si>
  <si>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</si>
  <si>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</si>
  <si>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</si>
  <si>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</si>
  <si>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</si>
  <si>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</si>
  <si>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</si>
  <si>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</si>
  <si>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</si>
  <si>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</si>
  <si>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</si>
  <si>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</si>
  <si>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</si>
  <si>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</si>
  <si>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</si>
  <si>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</si>
  <si>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</si>
  <si>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</si>
  <si>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</si>
  <si>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</si>
  <si>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</si>
  <si>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</si>
  <si>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</si>
  <si>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</si>
  <si>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</si>
  <si>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</si>
  <si>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</si>
  <si>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</si>
  <si>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</si>
  <si>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</si>
  <si>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</si>
  <si>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</si>
  <si>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</si>
  <si>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</si>
  <si>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</si>
  <si>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</si>
  <si>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</si>
  <si>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</si>
  <si>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</si>
  <si>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</si>
  <si>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</si>
  <si>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</si>
  <si>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</si>
  <si>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</si>
  <si>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</si>
  <si>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</si>
  <si>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</si>
  <si>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</si>
  <si>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</si>
  <si>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</si>
  <si>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</si>
  <si>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</si>
  <si>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</si>
  <si>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</si>
  <si>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</si>
  <si>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</si>
  <si>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</si>
  <si>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</si>
  <si>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</si>
  <si>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</si>
  <si>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</si>
  <si>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</si>
  <si>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</si>
  <si>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</si>
  <si>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</si>
  <si>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</si>
  <si>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</si>
  <si>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</si>
  <si>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</si>
  <si>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</si>
  <si>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</si>
  <si>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</si>
  <si>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</si>
  <si>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</si>
  <si>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</si>
  <si>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</si>
  <si>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</si>
  <si>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</si>
  <si>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</si>
  <si>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</si>
  <si>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</si>
  <si>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</si>
  <si>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</si>
  <si>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</si>
  <si>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</si>
  <si>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</si>
  <si>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</si>
  <si>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</si>
  <si>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</si>
  <si>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</si>
  <si>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</si>
  <si>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</si>
  <si>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</si>
  <si>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</si>
  <si>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</si>
  <si>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</si>
  <si>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</si>
  <si>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</si>
  <si>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</si>
  <si>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</si>
  <si>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</si>
  <si>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</si>
  <si>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</si>
  <si>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</si>
  <si>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</si>
  <si>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</si>
  <si>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</si>
  <si>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</si>
  <si>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</si>
  <si>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</si>
  <si>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</si>
  <si>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</si>
  <si>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</si>
  <si>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</si>
  <si>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</si>
  <si>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</si>
  <si>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</si>
  <si>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</si>
  <si>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</si>
  <si>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</si>
  <si>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</si>
  <si>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</si>
  <si>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</si>
  <si>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</si>
  <si>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</si>
  <si>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</si>
  <si>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</si>
  <si>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</si>
  <si>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</si>
  <si>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</si>
  <si>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</si>
  <si>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</si>
  <si>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</si>
  <si>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</si>
  <si>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</si>
  <si>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</si>
  <si>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</si>
  <si>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</si>
  <si>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</si>
  <si>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</si>
  <si>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</si>
  <si>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</si>
  <si>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</si>
  <si>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</si>
  <si>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</si>
  <si>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</si>
  <si>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</si>
  <si>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</si>
  <si>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</si>
  <si>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</si>
  <si>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</si>
  <si>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</si>
  <si>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</si>
  <si>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</si>
  <si>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</si>
  <si>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</si>
  <si>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</si>
  <si>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</si>
  <si>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</si>
  <si>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</si>
  <si>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</si>
  <si>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</si>
  <si>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</si>
  <si>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</si>
  <si>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</si>
  <si>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</si>
  <si>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</si>
  <si>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</si>
  <si>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</si>
  <si>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</si>
  <si>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</si>
  <si>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</si>
  <si>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</si>
  <si>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</si>
  <si>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</si>
  <si>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</si>
  <si>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</si>
  <si>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</si>
  <si>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</si>
  <si>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</si>
  <si>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</si>
  <si>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</si>
  <si>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</si>
  <si>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</si>
  <si>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</si>
  <si>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</si>
  <si>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</si>
  <si>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</si>
  <si>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</si>
  <si>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</si>
  <si>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</si>
  <si>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</si>
  <si>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</si>
  <si>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</si>
  <si>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</si>
  <si>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</si>
  <si>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</si>
  <si>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</si>
  <si>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</si>
  <si>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</si>
  <si>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</si>
  <si>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</si>
  <si>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</si>
  <si>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</si>
  <si>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</si>
  <si>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</si>
  <si>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</si>
  <si>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</si>
  <si>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</si>
  <si>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</si>
  <si>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</si>
  <si>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</si>
  <si>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</si>
  <si>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</si>
  <si>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</si>
  <si>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</si>
  <si>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</si>
  <si>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</si>
  <si>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</si>
  <si>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</si>
  <si>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</si>
  <si>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</si>
  <si>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</si>
  <si>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</si>
  <si>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</si>
  <si>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</si>
  <si>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</si>
  <si>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</si>
  <si>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</si>
  <si>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</si>
  <si>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</si>
  <si>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</si>
  <si>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</si>
  <si>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</si>
  <si>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</si>
  <si>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</si>
  <si>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</si>
  <si>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</si>
  <si>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</si>
  <si>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</si>
  <si>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</si>
  <si>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</si>
  <si>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</si>
  <si>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</si>
  <si>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</si>
  <si>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</si>
  <si>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</si>
  <si>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</si>
  <si>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</si>
  <si>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</si>
  <si>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</si>
  <si>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</si>
  <si>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</si>
  <si>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</si>
  <si>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</si>
  <si>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</si>
  <si>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</si>
  <si>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</si>
  <si>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</si>
  <si>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</si>
  <si>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</si>
  <si>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</si>
  <si>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</si>
  <si>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</si>
  <si>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</si>
  <si>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</si>
  <si>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</si>
  <si>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</si>
  <si>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</si>
  <si>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</si>
  <si>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</si>
  <si>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</si>
  <si>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</si>
  <si>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</si>
  <si>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</si>
  <si>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</si>
  <si>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</si>
  <si>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</si>
  <si>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</si>
  <si>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</si>
  <si>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</si>
  <si>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</si>
  <si>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</si>
  <si>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</si>
  <si>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</si>
  <si>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</si>
  <si>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</si>
  <si>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</si>
  <si>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</si>
  <si>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</si>
  <si>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</si>
  <si>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</si>
  <si>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</si>
  <si>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</si>
  <si>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</si>
  <si>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</si>
  <si>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</si>
  <si>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</si>
  <si>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</si>
  <si>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</si>
  <si>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</si>
  <si>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</si>
  <si>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</si>
  <si>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</si>
  <si>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</si>
  <si>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</si>
  <si>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</si>
  <si>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</si>
  <si>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</si>
  <si>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</si>
  <si>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</si>
  <si>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</si>
  <si>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</si>
  <si>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</si>
  <si>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</si>
  <si>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</si>
  <si>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</si>
  <si>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</si>
  <si>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</si>
  <si>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</si>
  <si>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</si>
  <si>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</si>
  <si>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</si>
  <si>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</si>
  <si>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</si>
  <si>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</si>
  <si>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</si>
  <si>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</si>
  <si>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</si>
  <si>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</si>
  <si>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</si>
  <si>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</si>
  <si>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</si>
  <si>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</si>
  <si>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</si>
  <si>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</si>
  <si>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</si>
  <si>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</si>
  <si>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</si>
  <si>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</si>
  <si>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</si>
  <si>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</si>
  <si>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</si>
  <si>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</si>
  <si>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</si>
  <si>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</si>
  <si>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</si>
  <si>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</si>
  <si>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</si>
  <si>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</si>
  <si>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</si>
  <si>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</si>
  <si>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</si>
  <si>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</si>
  <si>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</si>
  <si>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</si>
  <si>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</si>
  <si>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</si>
  <si>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</si>
  <si>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</si>
  <si>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</si>
  <si>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</si>
  <si>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</si>
  <si>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</si>
  <si>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</si>
  <si>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</si>
  <si>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</si>
  <si>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</si>
  <si>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</si>
  <si>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</si>
  <si>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</si>
  <si>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</si>
  <si>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</si>
  <si>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</si>
  <si>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</si>
  <si>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</si>
  <si>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</si>
  <si>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</si>
  <si>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</si>
  <si>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</si>
  <si>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</si>
  <si>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</si>
  <si>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</si>
  <si>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</si>
  <si>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</si>
  <si>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</si>
  <si>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</si>
  <si>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</si>
  <si>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</si>
  <si>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</si>
  <si>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</si>
  <si>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</si>
  <si>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</si>
  <si>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</si>
  <si>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</si>
  <si>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</si>
  <si>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</si>
  <si>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</si>
  <si>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</si>
  <si>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</si>
  <si>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</si>
  <si>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</si>
  <si>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</si>
  <si>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</si>
  <si>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</si>
  <si>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</si>
  <si>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</si>
  <si>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</si>
  <si>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</si>
  <si>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</si>
  <si>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</si>
  <si>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</si>
  <si>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</si>
  <si>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</si>
  <si>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</si>
  <si>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</si>
  <si>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</si>
  <si>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</si>
  <si>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</si>
  <si>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</si>
  <si>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</si>
  <si>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</si>
  <si>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</si>
  <si>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</si>
  <si>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</si>
  <si>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</si>
  <si>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</si>
  <si>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</si>
  <si>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</si>
  <si>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</si>
  <si>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</si>
  <si>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</si>
  <si>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</si>
  <si>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</si>
  <si>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</si>
  <si>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</si>
  <si>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</si>
  <si>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</si>
  <si>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</si>
  <si>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</si>
  <si>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</si>
  <si>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</si>
  <si>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</si>
  <si>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</si>
  <si>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</si>
  <si>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</si>
  <si>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</si>
  <si>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</si>
  <si>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</si>
  <si>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</si>
  <si>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</si>
  <si>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</si>
  <si>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</si>
  <si>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</si>
  <si>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</si>
  <si>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</si>
  <si>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</si>
  <si>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</si>
  <si>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</si>
  <si>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</si>
  <si>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</si>
  <si>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</si>
  <si>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</si>
  <si>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</si>
  <si>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</si>
  <si>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</si>
  <si>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</si>
  <si>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</si>
  <si>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</si>
  <si>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</si>
  <si>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</si>
  <si>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</si>
  <si>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</si>
  <si>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</si>
  <si>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</si>
  <si>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</si>
  <si>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</si>
  <si>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</si>
  <si>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</si>
  <si>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</si>
  <si>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</si>
  <si>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</si>
  <si>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</si>
  <si>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</si>
  <si>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</si>
  <si>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</si>
  <si>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</si>
  <si>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</si>
  <si>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</si>
  <si>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</si>
  <si>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</si>
  <si>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</si>
  <si>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</si>
  <si>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</si>
  <si>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</si>
  <si>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</si>
  <si>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</si>
  <si>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</si>
  <si>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</si>
  <si>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</si>
  <si>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</si>
  <si>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</si>
  <si>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</si>
  <si>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</si>
  <si>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</si>
  <si>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</si>
  <si>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</si>
  <si>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</si>
  <si>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</si>
  <si>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</si>
  <si>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</si>
  <si>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</si>
  <si>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</si>
  <si>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</si>
  <si>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</si>
  <si>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</si>
  <si>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</si>
  <si>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</si>
  <si>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</si>
  <si>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</si>
  <si>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</si>
  <si>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</si>
  <si>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</si>
  <si>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</si>
  <si>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</si>
  <si>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</si>
  <si>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</si>
  <si>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</si>
  <si>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</si>
  <si>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</si>
  <si>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</si>
  <si>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</si>
  <si>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</si>
  <si>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</si>
  <si>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</si>
  <si>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</si>
  <si>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</si>
  <si>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</si>
  <si>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</si>
  <si>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</si>
  <si>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</si>
  <si>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</si>
  <si>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</si>
  <si>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</si>
  <si>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</si>
  <si>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</si>
  <si>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</si>
  <si>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</si>
  <si>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</si>
  <si>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</si>
  <si>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</si>
  <si>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</si>
  <si>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</si>
  <si>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</si>
  <si>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</si>
  <si>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</si>
  <si>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</si>
  <si>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</si>
  <si>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</si>
  <si>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</si>
  <si>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</si>
  <si>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</si>
  <si>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</si>
  <si>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</si>
  <si>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</si>
  <si>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</si>
  <si>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</si>
  <si>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</si>
  <si>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</si>
  <si>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</si>
  <si>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</si>
  <si>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</si>
  <si>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</si>
  <si>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</si>
  <si>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</si>
  <si>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</si>
  <si>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</si>
  <si>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</si>
  <si>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</si>
  <si>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</si>
  <si>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</si>
  <si>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</si>
  <si>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</si>
  <si>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</si>
  <si>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</si>
  <si>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</si>
  <si>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</si>
  <si>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</si>
  <si>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</si>
  <si>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</si>
  <si>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</si>
  <si>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</si>
  <si>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</si>
  <si>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</si>
  <si>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</si>
  <si>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</si>
  <si>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</si>
  <si>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</si>
  <si>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</si>
  <si>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</si>
  <si>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</si>
  <si>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</si>
  <si>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</si>
  <si>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</si>
  <si>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</si>
  <si>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</si>
  <si>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</si>
  <si>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</si>
  <si>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</si>
  <si>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</si>
  <si>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</si>
  <si>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</si>
  <si>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</si>
  <si>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</si>
  <si>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</si>
  <si>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</si>
  <si>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</si>
  <si>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</si>
  <si>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</si>
  <si>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</si>
  <si>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</si>
  <si>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</si>
  <si>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</si>
  <si>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</si>
  <si>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</si>
  <si>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</si>
  <si>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</si>
  <si>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</si>
  <si>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</si>
  <si>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</si>
  <si>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</si>
  <si>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</si>
  <si>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</si>
  <si>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</si>
  <si>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</si>
  <si>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</si>
  <si>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</si>
  <si>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</si>
  <si>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</si>
  <si>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</si>
  <si>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</si>
  <si>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</si>
  <si>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</si>
  <si>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</si>
  <si>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</si>
  <si>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</si>
  <si>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</si>
  <si>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</si>
  <si>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</si>
  <si>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</si>
  <si>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</si>
  <si>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</si>
  <si>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</si>
  <si>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</si>
  <si>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</si>
  <si>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</si>
  <si>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</si>
  <si>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</si>
  <si>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</si>
  <si>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</si>
  <si>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</si>
  <si>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</si>
  <si>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</si>
  <si>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</si>
  <si>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</si>
  <si>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</si>
  <si>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</si>
  <si>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</si>
  <si>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</si>
  <si>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</si>
  <si>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</si>
  <si>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</si>
  <si>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</si>
  <si>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</si>
  <si>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</si>
  <si>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</si>
  <si>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</si>
  <si>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</si>
  <si>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</si>
  <si>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</si>
  <si>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</si>
  <si>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</si>
  <si>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</si>
  <si>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</si>
  <si>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</si>
  <si>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</si>
  <si>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</si>
  <si>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</si>
  <si>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</si>
  <si>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</si>
  <si>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</si>
  <si>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</si>
  <si>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</si>
  <si>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</si>
  <si>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</si>
  <si>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</si>
  <si>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</si>
  <si>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</si>
  <si>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</si>
  <si>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</si>
  <si>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</si>
  <si>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</si>
  <si>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</si>
  <si>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</si>
  <si>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</si>
  <si>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</si>
  <si>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</si>
  <si>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</si>
  <si>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</si>
  <si>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</si>
  <si>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</si>
  <si>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</si>
  <si>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</si>
  <si>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</si>
  <si>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</si>
  <si>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</si>
  <si>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</si>
  <si>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</si>
  <si>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</si>
  <si>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</si>
  <si>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</si>
  <si>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</si>
  <si>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</si>
  <si>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</si>
  <si>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</si>
  <si>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</si>
  <si>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</si>
  <si>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</si>
  <si>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</si>
  <si>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</si>
  <si>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</si>
  <si>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</si>
  <si>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</si>
  <si>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</si>
  <si>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</si>
  <si>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</si>
  <si>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</si>
  <si>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</si>
  <si>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</si>
  <si>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</si>
  <si>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</si>
  <si>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</si>
  <si>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</si>
  <si>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</si>
  <si>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</si>
  <si>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</si>
  <si>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</si>
  <si>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</si>
  <si>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</si>
  <si>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</si>
  <si>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</si>
  <si>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</si>
  <si>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</si>
  <si>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</si>
  <si>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</si>
  <si>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</si>
  <si>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</si>
  <si>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</si>
  <si>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</si>
  <si>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</si>
  <si>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</si>
  <si>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</si>
  <si>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</si>
  <si>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</si>
  <si>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</si>
  <si>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</si>
  <si>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</si>
  <si>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</si>
  <si>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</si>
  <si>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</si>
  <si>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</si>
  <si>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</si>
  <si>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</si>
  <si>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</si>
  <si>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</si>
  <si>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</si>
  <si>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</si>
  <si>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</si>
  <si>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</si>
  <si>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</si>
  <si>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</si>
  <si>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</si>
  <si>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</si>
  <si>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</si>
  <si>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</si>
  <si>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</si>
  <si>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</si>
  <si>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</si>
  <si>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</si>
  <si>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</si>
  <si>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</si>
  <si>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</si>
  <si>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</si>
  <si>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</si>
  <si>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</si>
  <si>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</si>
  <si>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</si>
  <si>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</si>
  <si>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</si>
  <si>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</si>
  <si>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</si>
  <si>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</si>
  <si>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</si>
  <si>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</si>
  <si>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</si>
  <si>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</si>
  <si>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</si>
  <si>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</si>
  <si>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</si>
  <si>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</si>
  <si>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</si>
  <si>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</si>
  <si>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</si>
  <si>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</si>
  <si>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</si>
  <si>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</si>
  <si>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</si>
  <si>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</si>
  <si>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</si>
  <si>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</si>
  <si>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</si>
  <si>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</si>
  <si>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</si>
  <si>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</si>
  <si>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</si>
  <si>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</si>
  <si>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</si>
  <si>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</si>
  <si>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</si>
  <si>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</si>
  <si>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</si>
  <si>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</si>
  <si>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</si>
  <si>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</si>
  <si>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</si>
  <si>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</si>
  <si>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</si>
  <si>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</si>
  <si>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</si>
  <si>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</si>
  <si>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</si>
  <si>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</si>
  <si>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</si>
  <si>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</si>
  <si>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</si>
  <si>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</si>
  <si>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</si>
  <si>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</si>
  <si>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</si>
  <si>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</si>
  <si>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</si>
  <si>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</si>
  <si>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</si>
  <si>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</si>
  <si>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</si>
  <si>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</si>
  <si>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</si>
  <si>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</si>
  <si>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</si>
  <si>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</si>
  <si>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</si>
  <si>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</si>
  <si>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</si>
  <si>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</si>
  <si>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</si>
  <si>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</si>
  <si>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</si>
  <si>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</si>
  <si>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</si>
  <si>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</si>
  <si>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</si>
  <si>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</si>
  <si>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</si>
  <si>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</si>
  <si>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</si>
  <si>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</si>
  <si>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</si>
  <si>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</si>
  <si>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</si>
  <si>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</si>
  <si>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</si>
  <si>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</si>
  <si>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</si>
  <si>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</si>
  <si>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</si>
  <si>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</si>
  <si>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</si>
  <si>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</si>
  <si>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</si>
  <si>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</si>
  <si>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</si>
  <si>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</si>
  <si>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</si>
  <si>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</si>
  <si>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</si>
  <si>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</si>
  <si>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</si>
  <si>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</si>
  <si>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</si>
  <si>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</si>
  <si>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</si>
  <si>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</si>
  <si>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</si>
  <si>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</si>
  <si>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</si>
  <si>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</si>
  <si>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</si>
  <si>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</si>
  <si>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</si>
  <si>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</si>
  <si>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</si>
  <si>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</si>
  <si>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</si>
  <si>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</si>
  <si>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</si>
  <si>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</si>
  <si>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</si>
  <si>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</si>
  <si>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</si>
  <si>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</si>
  <si>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</si>
  <si>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</si>
  <si>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</si>
  <si>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</si>
  <si>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</si>
  <si>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</si>
  <si>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</si>
  <si>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</si>
  <si>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</si>
  <si>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</si>
  <si>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</si>
  <si>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</si>
  <si>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</si>
  <si>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</si>
  <si>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</si>
  <si>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</si>
  <si>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</si>
  <si>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</si>
  <si>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</si>
  <si>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</si>
  <si>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</si>
  <si>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</si>
  <si>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</si>
  <si>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</si>
  <si>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</si>
  <si>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</si>
  <si>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</si>
  <si>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</si>
  <si>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</si>
  <si>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</si>
  <si>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</si>
  <si>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</si>
  <si>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</si>
  <si>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</si>
  <si>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</si>
  <si>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</si>
  <si>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</si>
  <si>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</si>
  <si>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</si>
  <si>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</si>
  <si>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</si>
  <si>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</si>
  <si>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</si>
  <si>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</si>
  <si>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</si>
  <si>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</si>
  <si>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</si>
  <si>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</si>
  <si>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</si>
  <si>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</si>
  <si>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</si>
  <si>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</si>
  <si>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</si>
  <si>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</si>
  <si>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</si>
  <si>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</si>
  <si>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</si>
  <si>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</si>
  <si>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</si>
  <si>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</si>
  <si>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</si>
  <si>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</si>
  <si>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</si>
  <si>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</si>
  <si>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</si>
  <si>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</si>
  <si>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</si>
  <si>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</si>
  <si>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</si>
  <si>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</si>
  <si>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</si>
  <si>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</si>
  <si>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</si>
  <si>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</si>
  <si>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</si>
  <si>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</si>
  <si>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</si>
  <si>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</si>
  <si>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</si>
  <si>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</si>
  <si>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</si>
  <si>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</si>
  <si>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</si>
  <si>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</si>
  <si>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</si>
  <si>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</si>
  <si>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</si>
  <si>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</si>
  <si>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</si>
  <si>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</si>
  <si>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</si>
  <si>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</si>
  <si>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</si>
  <si>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</si>
  <si>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</si>
  <si>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</si>
  <si>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</si>
  <si>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</si>
  <si>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</si>
  <si>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</si>
  <si>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</si>
  <si>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</si>
  <si>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</si>
  <si>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</si>
  <si>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</si>
  <si>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</si>
  <si>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</si>
  <si>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</si>
  <si>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</si>
  <si>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</si>
  <si>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</si>
  <si>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</si>
  <si>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</si>
  <si>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</si>
  <si>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</si>
  <si>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</si>
  <si>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</si>
  <si>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</si>
  <si>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</si>
  <si>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</si>
  <si>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</si>
  <si>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</si>
  <si>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</si>
  <si>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</si>
  <si>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</si>
  <si>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</si>
  <si>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</si>
  <si>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</si>
  <si>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</si>
  <si>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</si>
  <si>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</si>
  <si>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</si>
  <si>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</si>
  <si>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</si>
  <si>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</si>
  <si>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</si>
  <si>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</si>
  <si>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</si>
  <si>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</si>
  <si>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</si>
  <si>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</si>
  <si>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</si>
  <si>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</si>
  <si>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</si>
  <si>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</si>
  <si>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</si>
  <si>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</si>
  <si>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</si>
  <si>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</si>
  <si>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</si>
  <si>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</si>
  <si>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</si>
  <si>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</si>
  <si>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</si>
  <si>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</si>
  <si>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</si>
  <si>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</si>
  <si>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</si>
  <si>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</si>
  <si>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</si>
  <si>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</si>
  <si>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</si>
  <si>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</si>
  <si>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</si>
  <si>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</si>
  <si>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</si>
  <si>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</si>
  <si>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</si>
  <si>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</si>
  <si>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</si>
  <si>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</si>
  <si>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</si>
  <si>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</si>
  <si>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</si>
  <si>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</si>
  <si>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</si>
  <si>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</si>
  <si>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</si>
  <si>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</si>
  <si>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</si>
  <si>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</si>
  <si>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</si>
  <si>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</si>
  <si>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</si>
  <si>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</si>
  <si>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</si>
  <si>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</si>
  <si>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</si>
  <si>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</si>
  <si>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</si>
  <si>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</si>
  <si>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</si>
  <si>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</si>
  <si>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</si>
  <si>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</si>
  <si>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</si>
  <si>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</si>
  <si>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</si>
  <si>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</si>
  <si>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</si>
  <si>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</si>
  <si>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</si>
  <si>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</si>
  <si>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</si>
  <si>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</si>
  <si>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</si>
  <si>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</si>
  <si>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</si>
  <si>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</si>
  <si>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</si>
  <si>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</si>
  <si>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</si>
  <si>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</si>
  <si>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</si>
  <si>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</si>
  <si>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</si>
  <si>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</si>
  <si>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</si>
  <si>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</si>
  <si>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</si>
  <si>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</si>
  <si>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</si>
  <si>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</si>
  <si>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</si>
  <si>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</si>
  <si>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</si>
  <si>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</si>
  <si>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</si>
  <si>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</si>
  <si>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</si>
  <si>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</si>
  <si>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</si>
  <si>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</si>
  <si>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</si>
  <si>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</si>
  <si>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</si>
  <si>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</si>
  <si>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</si>
  <si>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</si>
  <si>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</si>
  <si>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</si>
  <si>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</si>
  <si>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</si>
  <si>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</si>
  <si>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</si>
  <si>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</si>
  <si>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</si>
  <si>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</si>
  <si>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</si>
  <si>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</si>
  <si>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</si>
  <si>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</si>
  <si>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</si>
  <si>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</si>
  <si>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</si>
  <si>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</si>
  <si>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</si>
  <si>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</si>
  <si>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</si>
  <si>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</si>
  <si>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</si>
  <si>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</si>
  <si>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</si>
  <si>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</si>
  <si>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</si>
  <si>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</si>
  <si>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</si>
  <si>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</si>
  <si>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</si>
  <si>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</si>
  <si>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</si>
  <si>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</si>
  <si>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</si>
  <si>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</si>
  <si>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</si>
  <si>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</si>
  <si>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</si>
  <si>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</si>
  <si>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</si>
  <si>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</si>
  <si>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</si>
  <si>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</si>
  <si>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</si>
  <si>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</si>
  <si>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</si>
  <si>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</si>
  <si>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</si>
  <si>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</si>
  <si>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</si>
  <si>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</si>
  <si>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</si>
  <si>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</si>
  <si>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</si>
  <si>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</si>
  <si>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</si>
  <si>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</si>
  <si>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</si>
  <si>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</si>
  <si>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</si>
  <si>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</si>
  <si>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</si>
  <si>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</si>
  <si>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</si>
  <si>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</si>
  <si>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</si>
  <si>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</si>
  <si>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</si>
  <si>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</si>
  <si>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</si>
  <si>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</si>
  <si>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</si>
  <si>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</si>
  <si>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</si>
  <si>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</si>
  <si>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</si>
  <si>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</si>
  <si>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</si>
  <si>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</si>
  <si>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</si>
  <si>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</si>
  <si>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</si>
  <si>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</si>
  <si>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</si>
  <si>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</si>
  <si>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</si>
  <si>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</si>
  <si>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</si>
  <si>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</si>
  <si>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</si>
  <si>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</si>
  <si>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</si>
  <si>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</si>
  <si>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</si>
  <si>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</si>
  <si>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</si>
  <si>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</si>
  <si>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</si>
  <si>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</si>
  <si>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</si>
  <si>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</si>
  <si>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</si>
  <si>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</si>
  <si>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</si>
  <si>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</si>
  <si>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</si>
  <si>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</si>
  <si>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</si>
  <si>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</si>
  <si>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</si>
  <si>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</si>
  <si>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</si>
  <si>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</si>
  <si>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</si>
  <si>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</si>
  <si>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</si>
  <si>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</si>
  <si>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</si>
  <si>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</si>
  <si>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</si>
  <si>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</si>
  <si>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</si>
  <si>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</si>
  <si>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</si>
  <si>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</si>
  <si>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</si>
  <si>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</si>
  <si>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</si>
  <si>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</si>
  <si>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</si>
  <si>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</si>
  <si>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</si>
  <si>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</si>
  <si>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</si>
  <si>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</si>
  <si>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</si>
  <si>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</si>
  <si>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</si>
  <si>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</si>
  <si>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</si>
  <si>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</si>
  <si>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</si>
  <si>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</si>
  <si>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</si>
  <si>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</si>
  <si>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</si>
  <si>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</si>
  <si>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</si>
  <si>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</si>
  <si>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</si>
  <si>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</si>
  <si>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</si>
  <si>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</si>
  <si>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</si>
  <si>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</si>
  <si>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</si>
  <si>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</si>
  <si>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</si>
  <si>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</si>
  <si>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</si>
  <si>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</si>
  <si>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</si>
  <si>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</si>
  <si>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</si>
  <si>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</si>
  <si>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</si>
  <si>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</si>
  <si>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</si>
  <si>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</si>
  <si>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</si>
  <si>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</si>
  <si>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</si>
  <si>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</si>
  <si>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</si>
  <si>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</si>
  <si>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</si>
  <si>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</si>
  <si>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</si>
  <si>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</si>
  <si>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</si>
  <si>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</si>
  <si>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</si>
  <si>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</si>
  <si>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</si>
  <si>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</si>
  <si>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</si>
  <si>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</si>
  <si>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</si>
  <si>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</si>
  <si>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</si>
  <si>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</si>
  <si>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</si>
  <si>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</si>
  <si>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</si>
  <si>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</si>
  <si>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</si>
  <si>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</si>
  <si>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</si>
  <si>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</si>
  <si>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</si>
  <si>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</si>
  <si>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</si>
  <si>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</si>
  <si>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</si>
  <si>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</si>
  <si>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</si>
  <si>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</si>
  <si>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</si>
  <si>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</si>
  <si>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</si>
  <si>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</si>
  <si>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</si>
  <si>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</si>
  <si>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</si>
  <si>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</si>
  <si>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</si>
  <si>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</si>
  <si>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</si>
  <si>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</si>
  <si>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</si>
  <si>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</si>
  <si>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</si>
  <si>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</si>
  <si>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</si>
  <si>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</si>
  <si>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</si>
  <si>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</si>
  <si>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</si>
  <si>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</si>
  <si>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</si>
  <si>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</si>
  <si>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</si>
  <si>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</si>
  <si>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</si>
  <si>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</si>
  <si>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</si>
  <si>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</si>
  <si>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</si>
  <si>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</si>
  <si>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</si>
  <si>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</si>
  <si>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</si>
  <si>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</si>
  <si>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</si>
  <si>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</si>
  <si>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</si>
  <si>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</si>
  <si>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</si>
  <si>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</si>
  <si>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</si>
  <si>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</si>
  <si>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</si>
  <si>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</si>
  <si>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</si>
  <si>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</si>
  <si>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</si>
  <si>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</si>
  <si>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</si>
  <si>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</si>
  <si>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</si>
  <si>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</si>
  <si>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</si>
  <si>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</si>
  <si>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</si>
  <si>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</si>
  <si>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</si>
  <si>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</si>
  <si>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</si>
  <si>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</si>
  <si>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</si>
  <si>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</si>
  <si>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</si>
  <si>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</si>
  <si>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</si>
  <si>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</si>
  <si>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</si>
  <si>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</si>
  <si>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</si>
  <si>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</si>
  <si>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</si>
  <si>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</si>
  <si>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</si>
  <si>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</si>
  <si>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</si>
  <si>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</si>
  <si>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</si>
  <si>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</si>
  <si>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</si>
  <si>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</si>
  <si>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</si>
  <si>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</si>
  <si>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</si>
  <si>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</si>
  <si>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</si>
  <si>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</si>
  <si>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</si>
  <si>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</si>
  <si>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</si>
  <si>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</si>
  <si>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</si>
  <si>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</si>
  <si>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</si>
  <si>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</si>
  <si>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</si>
  <si>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</si>
  <si>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</si>
  <si>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</si>
  <si>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</si>
  <si>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</si>
  <si>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</si>
  <si>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</si>
  <si>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</si>
  <si>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</si>
  <si>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</si>
  <si>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</si>
  <si>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</si>
  <si>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</si>
  <si>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</si>
  <si>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</si>
  <si>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</si>
  <si>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</si>
  <si>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</si>
  <si>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</si>
  <si>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</si>
  <si>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</si>
  <si>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</si>
  <si>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</si>
  <si>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</si>
  <si>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</si>
  <si>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</si>
  <si>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</si>
  <si>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</si>
  <si>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</si>
  <si>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</si>
  <si>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</si>
  <si>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</si>
  <si>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</si>
  <si>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</si>
  <si>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</si>
  <si>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</si>
  <si>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</si>
  <si>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</si>
  <si>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</si>
  <si>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</si>
  <si>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</si>
  <si>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</si>
  <si>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</si>
  <si>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</si>
  <si>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</si>
  <si>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</si>
  <si>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</si>
  <si>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</si>
  <si>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</si>
  <si>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</si>
  <si>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</si>
  <si>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</si>
  <si>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</si>
  <si>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</si>
  <si>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</si>
  <si>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</si>
  <si>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</si>
  <si>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</si>
  <si>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</si>
  <si>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</si>
  <si>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</si>
  <si>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</si>
  <si>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</si>
  <si>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</si>
  <si>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</si>
  <si>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</si>
  <si>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</si>
  <si>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</si>
  <si>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</si>
  <si>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</si>
  <si>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</si>
  <si>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</si>
  <si>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</si>
  <si>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</si>
  <si>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</si>
  <si>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</si>
  <si>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</si>
  <si>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</si>
  <si>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</si>
  <si>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</si>
  <si>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</si>
  <si>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</si>
  <si>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</si>
  <si>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</si>
  <si>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</si>
  <si>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</si>
  <si>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</si>
  <si>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</si>
  <si>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</si>
  <si>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</si>
  <si>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</si>
  <si>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</si>
  <si>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</si>
  <si>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</si>
  <si>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</si>
  <si>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</si>
  <si>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</si>
  <si>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</si>
  <si>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</si>
  <si>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</si>
  <si>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</si>
  <si>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</si>
  <si>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</si>
  <si>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</si>
  <si>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</si>
  <si>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</si>
  <si>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</si>
  <si>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</si>
  <si>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</si>
  <si>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</si>
  <si>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</si>
  <si>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</si>
  <si>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</si>
  <si>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</si>
  <si>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</si>
  <si>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</si>
  <si>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</si>
  <si>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</si>
  <si>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</si>
  <si>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</si>
  <si>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</si>
  <si>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</si>
  <si>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</si>
  <si>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</si>
  <si>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</si>
  <si>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</si>
  <si>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</si>
  <si>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</si>
  <si>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</si>
  <si>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</si>
  <si>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</si>
  <si>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</si>
  <si>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</si>
  <si>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</si>
  <si>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</si>
  <si>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</si>
  <si>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</si>
  <si>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</si>
  <si>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</si>
  <si>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</si>
  <si>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</si>
  <si>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</si>
  <si>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</si>
  <si>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</si>
  <si>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</si>
  <si>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</si>
  <si>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</si>
  <si>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</si>
  <si>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</si>
  <si>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</si>
  <si>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</si>
  <si>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</si>
  <si>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</si>
  <si>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</si>
  <si>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</si>
  <si>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</si>
  <si>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</si>
  <si>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</si>
  <si>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</si>
  <si>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</si>
  <si>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</si>
  <si>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</si>
  <si>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</si>
  <si>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</si>
  <si>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</si>
  <si>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</si>
  <si>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</si>
  <si>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</si>
  <si>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</si>
  <si>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</si>
  <si>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</si>
  <si>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</si>
  <si>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</si>
  <si>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</si>
  <si>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</si>
  <si>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</si>
  <si>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</si>
  <si>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</si>
  <si>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</si>
  <si>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</si>
  <si>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</si>
  <si>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</si>
  <si>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</si>
  <si>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</si>
  <si>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</si>
  <si>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</si>
  <si>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</si>
  <si>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</si>
  <si>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</si>
  <si>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</si>
  <si>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</si>
  <si>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</si>
  <si>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</si>
  <si>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</si>
  <si>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</si>
  <si>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</si>
  <si>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</si>
  <si>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</si>
  <si>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</si>
  <si>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</si>
  <si>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</si>
  <si>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</si>
  <si>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</si>
  <si>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</si>
  <si>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</si>
  <si>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</si>
  <si>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</si>
  <si>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</si>
  <si>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</si>
  <si>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</si>
  <si>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</si>
  <si>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</si>
  <si>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</si>
  <si>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</si>
  <si>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</si>
  <si>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</si>
  <si>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</si>
  <si>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</si>
  <si>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</si>
  <si>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</si>
  <si>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</si>
  <si>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</si>
  <si>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</si>
  <si>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</si>
  <si>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</si>
  <si>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</si>
  <si>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</si>
  <si>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</si>
  <si>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</si>
  <si>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</si>
  <si>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</si>
  <si>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</si>
  <si>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</si>
  <si>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</si>
  <si>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</si>
  <si>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</si>
  <si>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</si>
  <si>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</si>
  <si>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</si>
  <si>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</si>
  <si>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</si>
  <si>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</si>
  <si>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</si>
  <si>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</si>
  <si>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</si>
  <si>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</si>
  <si>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</si>
  <si>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</si>
  <si>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</si>
  <si>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</si>
  <si>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</si>
  <si>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</si>
  <si>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</si>
  <si>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</si>
  <si>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</si>
  <si>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</si>
  <si>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</si>
  <si>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</si>
  <si>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</si>
  <si>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</si>
  <si>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</si>
  <si>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</si>
  <si>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</si>
  <si>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</si>
  <si>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</si>
  <si>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</si>
  <si>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</si>
  <si>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</si>
  <si>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</si>
  <si>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</si>
  <si>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</si>
  <si>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</si>
  <si>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</si>
  <si>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</si>
  <si>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</si>
  <si>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</si>
  <si>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</si>
  <si>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</si>
  <si>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</si>
  <si>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</si>
  <si>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</si>
  <si>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</si>
  <si>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</si>
  <si>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</si>
  <si>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</si>
  <si>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</si>
  <si>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</si>
  <si>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</si>
  <si>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</si>
  <si>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</si>
  <si>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</si>
  <si>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</si>
  <si>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</si>
  <si>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</si>
  <si>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</si>
  <si>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</si>
  <si>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</si>
  <si>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</si>
  <si>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</si>
  <si>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</si>
  <si>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</si>
  <si>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</si>
  <si>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</si>
  <si>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</si>
  <si>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</si>
  <si>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</si>
  <si>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</si>
  <si>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</si>
  <si>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</si>
  <si>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</si>
  <si>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</si>
  <si>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</si>
  <si>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</si>
  <si>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</si>
  <si>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</si>
  <si>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</si>
  <si>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</si>
  <si>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</si>
  <si>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</si>
  <si>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</si>
  <si>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</si>
  <si>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</si>
  <si>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</si>
  <si>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</si>
  <si>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</si>
  <si>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</si>
  <si>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</si>
  <si>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</si>
  <si>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</si>
  <si>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</si>
  <si>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</si>
  <si>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</si>
  <si>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</si>
  <si>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</si>
  <si>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</si>
  <si>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</si>
  <si>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</si>
  <si>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</si>
  <si>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</si>
  <si>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</si>
  <si>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</si>
  <si>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</si>
  <si>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</si>
  <si>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</si>
  <si>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</si>
  <si>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</si>
  <si>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</si>
  <si>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</si>
  <si>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</si>
  <si>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</si>
  <si>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</si>
  <si>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</si>
  <si>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</si>
  <si>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</si>
  <si>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</si>
  <si>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</si>
  <si>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</si>
  <si>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</si>
  <si>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</si>
  <si>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</si>
  <si>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</si>
  <si>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</si>
  <si>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</si>
  <si>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</si>
  <si>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</si>
  <si>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</si>
  <si>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</si>
  <si>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</si>
  <si>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</si>
  <si>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</si>
  <si>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</si>
  <si>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</si>
  <si>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</si>
  <si>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</si>
  <si>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</si>
  <si>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</si>
  <si>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</si>
  <si>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</si>
  <si>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</si>
  <si>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</si>
  <si>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</si>
  <si>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</si>
  <si>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</si>
  <si>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</si>
  <si>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</si>
  <si>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</si>
  <si>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</si>
  <si>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</si>
  <si>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</si>
  <si>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</si>
  <si>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</si>
  <si>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</si>
  <si>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</si>
  <si>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</si>
  <si>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</si>
  <si>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</si>
  <si>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</si>
  <si>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</si>
  <si>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</si>
  <si>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</si>
  <si>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</si>
  <si>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</si>
  <si>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</si>
  <si>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</si>
  <si>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</si>
  <si>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</si>
  <si>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</si>
  <si>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</si>
  <si>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</si>
  <si>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</si>
  <si>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</si>
  <si>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</si>
  <si>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</si>
  <si>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</si>
  <si>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</si>
  <si>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</si>
  <si>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</si>
  <si>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</si>
  <si>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</si>
  <si>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</si>
  <si>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</si>
  <si>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</si>
  <si>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</si>
  <si>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</si>
  <si>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</si>
  <si>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</si>
  <si>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</si>
  <si>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</si>
  <si>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</si>
  <si>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</si>
  <si>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</si>
  <si>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</si>
  <si>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</si>
  <si>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</si>
  <si>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</si>
  <si>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</si>
  <si>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</si>
  <si>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</si>
  <si>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</si>
  <si>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</si>
  <si>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</si>
  <si>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</si>
  <si>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</si>
  <si>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</si>
  <si>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</si>
  <si>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</si>
  <si>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</si>
  <si>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</si>
  <si>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</si>
  <si>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</si>
  <si>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</si>
  <si>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</si>
  <si>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</si>
  <si>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</si>
  <si>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</si>
  <si>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</si>
  <si>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</si>
  <si>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</si>
  <si>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</si>
  <si>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</si>
  <si>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</si>
  <si>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</si>
  <si>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</si>
  <si>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</si>
  <si>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</si>
  <si>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</si>
  <si>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</si>
  <si>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</si>
  <si>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</si>
  <si>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</si>
  <si>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</si>
  <si>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</si>
  <si>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</si>
  <si>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</si>
  <si>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</si>
  <si>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</si>
  <si>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</si>
  <si>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</si>
  <si>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</si>
  <si>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</si>
  <si>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</si>
  <si>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</si>
  <si>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</si>
  <si>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</si>
  <si>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</si>
  <si>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</si>
  <si>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</si>
  <si>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</si>
  <si>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</si>
  <si>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</si>
  <si>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</si>
  <si>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</si>
  <si>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</si>
  <si>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</si>
  <si>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</si>
  <si>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</si>
  <si>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</si>
  <si>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</si>
  <si>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</si>
  <si>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</si>
  <si>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</si>
  <si>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</si>
  <si>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</si>
  <si>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</si>
  <si>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</si>
  <si>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</si>
  <si>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</si>
  <si>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</si>
  <si>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</si>
  <si>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</si>
  <si>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</si>
  <si>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</si>
  <si>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</si>
  <si>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</si>
  <si>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</si>
  <si>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</si>
  <si>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</si>
  <si>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</si>
  <si>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</si>
  <si>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</si>
  <si>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</si>
  <si>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</si>
  <si>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</si>
  <si>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</si>
  <si>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</si>
  <si>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</si>
  <si>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</si>
  <si>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</si>
  <si>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</si>
  <si>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</si>
  <si>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</si>
  <si>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</si>
  <si>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</si>
  <si>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</si>
  <si>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</si>
  <si>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</si>
  <si>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</si>
  <si>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</si>
  <si>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</si>
  <si>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</si>
  <si>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</si>
  <si>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</si>
  <si>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</si>
  <si>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</si>
  <si>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</si>
  <si>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</si>
  <si>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</si>
  <si>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</si>
  <si>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</si>
  <si>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</si>
  <si>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</si>
  <si>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</si>
  <si>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</si>
  <si>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</si>
  <si>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</si>
  <si>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</si>
  <si>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</si>
  <si>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</si>
  <si>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</si>
  <si>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</si>
  <si>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</si>
  <si>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</si>
  <si>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</si>
  <si>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</si>
  <si>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</si>
  <si>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</si>
  <si>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</si>
  <si>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</si>
  <si>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</si>
  <si>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</si>
  <si>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</si>
  <si>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</si>
  <si>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</si>
  <si>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</si>
  <si>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</si>
  <si>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</si>
  <si>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</si>
  <si>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</si>
  <si>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</si>
  <si>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</si>
  <si>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</si>
  <si>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</si>
  <si>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</si>
  <si>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</si>
  <si>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</si>
  <si>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</si>
  <si>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</si>
  <si>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</si>
  <si>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</si>
  <si>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</si>
  <si>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</si>
  <si>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</si>
  <si>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</si>
  <si>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</si>
  <si>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</si>
  <si>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</si>
  <si>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</si>
  <si>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</si>
  <si>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</si>
  <si>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</si>
  <si>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</si>
  <si>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</si>
  <si>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</si>
  <si>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</si>
  <si>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</si>
  <si>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</si>
  <si>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</si>
  <si>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</si>
  <si>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</si>
  <si>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</si>
  <si>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</si>
  <si>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</si>
  <si>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</si>
  <si>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</si>
  <si>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</si>
  <si>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</si>
  <si>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</si>
  <si>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</si>
  <si>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</si>
  <si>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</si>
  <si>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</si>
  <si>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</si>
  <si>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</si>
  <si>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</si>
  <si>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</si>
  <si>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</si>
  <si>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</si>
  <si>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</si>
  <si>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</si>
  <si>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</si>
  <si>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</si>
  <si>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</si>
  <si>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</si>
  <si>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</si>
  <si>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</si>
  <si>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</si>
  <si>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</si>
  <si>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</si>
  <si>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</si>
  <si>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</si>
  <si>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</si>
  <si>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</si>
  <si>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</si>
  <si>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</si>
  <si>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</si>
  <si>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</si>
  <si>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</si>
  <si>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</si>
  <si>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</si>
  <si>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</si>
  <si>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</si>
  <si>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</si>
  <si>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</si>
  <si>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</si>
  <si>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</si>
  <si>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</si>
  <si>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</si>
  <si>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</si>
  <si>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</si>
  <si>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</si>
  <si>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</si>
  <si>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</si>
  <si>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</si>
  <si>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</si>
  <si>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</si>
  <si>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</si>
  <si>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</si>
  <si>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</si>
  <si>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</si>
  <si>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</si>
  <si>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</si>
  <si>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</si>
  <si>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</si>
  <si>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</si>
  <si>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</si>
  <si>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</si>
  <si>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</si>
  <si>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</si>
  <si>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</si>
  <si>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</si>
  <si>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</si>
  <si>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</si>
  <si>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</si>
  <si>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</si>
  <si>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</si>
  <si>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</si>
  <si>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</si>
  <si>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</si>
  <si>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</si>
  <si>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</si>
  <si>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</si>
  <si>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</si>
  <si>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</si>
  <si>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</si>
  <si>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</si>
  <si>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</si>
  <si>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</si>
  <si>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</si>
  <si>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</si>
  <si>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</si>
  <si>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</si>
  <si>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</si>
  <si>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</si>
  <si>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</si>
  <si>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</si>
  <si>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</si>
  <si>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</si>
  <si>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</si>
  <si>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</si>
  <si>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</si>
  <si>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</si>
  <si>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</si>
  <si>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</si>
  <si>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</si>
  <si>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</si>
  <si>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</si>
  <si>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</si>
  <si>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</si>
  <si>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</si>
  <si>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</si>
  <si>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</si>
  <si>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</si>
  <si>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</si>
  <si>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</si>
  <si>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</si>
  <si>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</si>
  <si>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</si>
  <si>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</si>
  <si>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</si>
  <si>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</si>
  <si>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</si>
  <si>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</si>
  <si>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</si>
  <si>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</si>
  <si>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</si>
  <si>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</si>
  <si>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</si>
  <si>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</si>
  <si>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</si>
  <si>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</si>
  <si>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</si>
  <si>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</si>
  <si>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</si>
  <si>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</si>
  <si>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</si>
  <si>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</si>
  <si>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</si>
  <si>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</si>
  <si>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</si>
  <si>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</si>
  <si>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</si>
  <si>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</si>
  <si>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</si>
  <si>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</si>
  <si>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</si>
  <si>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</si>
  <si>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</si>
  <si>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</si>
  <si>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</si>
  <si>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</si>
  <si>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</si>
  <si>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</si>
  <si>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</si>
  <si>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</si>
  <si>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</si>
  <si>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</si>
  <si>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</si>
  <si>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</si>
  <si>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</si>
  <si>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</si>
  <si>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</si>
  <si>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</si>
  <si>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</si>
  <si>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</si>
  <si>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</si>
  <si>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</si>
  <si>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</si>
  <si>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</si>
  <si>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</si>
  <si>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</si>
  <si>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</si>
  <si>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</si>
  <si>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</si>
  <si>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</si>
  <si>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</si>
  <si>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</si>
  <si>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</si>
  <si>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</si>
  <si>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</si>
  <si>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</si>
  <si>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</si>
  <si>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</si>
  <si>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</si>
  <si>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</si>
  <si>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</si>
  <si>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</si>
  <si>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</si>
  <si>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</si>
  <si>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</si>
  <si>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</si>
  <si>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</si>
  <si>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</si>
  <si>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</si>
  <si>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</si>
  <si>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</si>
  <si>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</si>
  <si>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</si>
  <si>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</si>
  <si>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</si>
  <si>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</si>
  <si>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</si>
  <si>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</si>
  <si>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</si>
  <si>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</si>
  <si>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</si>
  <si>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</si>
  <si>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</si>
  <si>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</si>
  <si>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</si>
  <si>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</si>
  <si>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</si>
  <si>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</si>
  <si>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</si>
  <si>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</si>
  <si>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</si>
  <si>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</si>
  <si>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</si>
  <si>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</si>
  <si>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</si>
  <si>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</si>
  <si>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</si>
  <si>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</si>
  <si>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</si>
  <si>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</si>
  <si>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</si>
  <si>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</si>
  <si>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</si>
  <si>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</si>
  <si>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</si>
  <si>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</si>
  <si>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</si>
  <si>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</si>
  <si>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</si>
  <si>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</si>
  <si>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</si>
  <si>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</si>
  <si>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</si>
  <si>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</si>
  <si>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</si>
  <si>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</si>
  <si>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</si>
  <si>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</si>
  <si>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</si>
  <si>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</si>
  <si>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</si>
  <si>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</si>
  <si>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</si>
  <si>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</si>
  <si>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</si>
  <si>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</si>
  <si>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</si>
  <si>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</si>
  <si>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</si>
  <si>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</si>
  <si>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</si>
  <si>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</si>
  <si>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</si>
  <si>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</si>
  <si>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</si>
  <si>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</si>
  <si>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</si>
  <si>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</si>
  <si>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</si>
  <si>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</si>
  <si>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</si>
  <si>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</si>
  <si>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</si>
  <si>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</si>
  <si>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</si>
  <si>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</si>
  <si>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</si>
  <si>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</si>
  <si>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</si>
  <si>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</si>
  <si>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</si>
  <si>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</si>
  <si>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</si>
  <si>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</si>
  <si>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</si>
  <si>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</si>
  <si>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</si>
  <si>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</si>
  <si>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</si>
  <si>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</si>
  <si>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</si>
  <si>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</si>
  <si>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</si>
  <si>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</si>
  <si>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</si>
  <si>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</si>
  <si>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</si>
  <si>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</si>
  <si>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</si>
  <si>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</si>
  <si>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</si>
  <si>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</si>
  <si>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</si>
  <si>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</si>
  <si>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</si>
  <si>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</si>
  <si>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</si>
  <si>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</si>
  <si>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</si>
  <si>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</si>
  <si>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</si>
  <si>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</si>
  <si>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</si>
  <si>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</si>
  <si>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</si>
  <si>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</si>
  <si>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</si>
  <si>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</si>
  <si>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</si>
  <si>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</si>
  <si>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</si>
  <si>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</si>
  <si>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</si>
  <si>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</si>
  <si>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</si>
  <si>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</si>
  <si>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</si>
  <si>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</si>
  <si>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</si>
  <si>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</si>
  <si>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</si>
  <si>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</si>
  <si>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</si>
  <si>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</si>
  <si>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</si>
  <si>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</si>
  <si>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</si>
  <si>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</si>
  <si>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</si>
  <si>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</si>
  <si>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</si>
  <si>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</si>
  <si>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</si>
  <si>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</si>
  <si>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</si>
  <si>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</si>
  <si>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</si>
  <si>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</si>
  <si>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</si>
  <si>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</si>
  <si>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</si>
  <si>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</si>
  <si>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</si>
  <si>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</si>
  <si>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</si>
  <si>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</si>
  <si>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</si>
  <si>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</si>
  <si>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</si>
  <si>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</si>
  <si>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</si>
  <si>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</si>
  <si>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</si>
  <si>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</si>
  <si>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</si>
  <si>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</si>
  <si>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</si>
  <si>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</si>
  <si>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</si>
  <si>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</si>
  <si>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</si>
  <si>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</si>
  <si>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</si>
  <si>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</si>
  <si>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</si>
  <si>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</si>
  <si>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</si>
  <si>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</si>
  <si>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</si>
  <si>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</si>
  <si>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</si>
  <si>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</si>
  <si>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</si>
  <si>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</si>
  <si>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</si>
  <si>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</si>
  <si>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</si>
  <si>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</si>
  <si>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</si>
  <si>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</si>
  <si>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</si>
  <si>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</si>
  <si>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</si>
  <si>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</si>
  <si>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</si>
  <si>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</si>
  <si>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</si>
  <si>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</si>
  <si>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</si>
  <si>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</si>
  <si>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</si>
  <si>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</si>
  <si>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</si>
  <si>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</si>
  <si>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</si>
  <si>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</si>
  <si>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</si>
  <si>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</si>
  <si>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</si>
  <si>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</si>
  <si>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</si>
  <si>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</si>
  <si>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</si>
  <si>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</si>
  <si>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</si>
  <si>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</si>
  <si>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</si>
  <si>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</si>
  <si>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</si>
  <si>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</si>
  <si>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</si>
  <si>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</si>
  <si>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</si>
  <si>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</si>
  <si>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</si>
  <si>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</si>
  <si>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</si>
  <si>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</si>
  <si>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</si>
  <si>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</si>
  <si>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</si>
  <si>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</si>
  <si>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</si>
  <si>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</si>
  <si>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</si>
  <si>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</si>
  <si>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</si>
  <si>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</si>
  <si>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</si>
  <si>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</si>
  <si>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</si>
  <si>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</si>
  <si>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</si>
  <si>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</si>
  <si>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</si>
  <si>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</si>
  <si>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</si>
  <si>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</si>
  <si>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</si>
  <si>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</si>
  <si>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</si>
  <si>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</si>
  <si>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</si>
  <si>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</si>
  <si>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</si>
  <si>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</si>
  <si>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</si>
  <si>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</si>
  <si>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</si>
  <si>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</si>
  <si>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</si>
  <si>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</si>
  <si>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</si>
  <si>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</si>
  <si>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</si>
  <si>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</si>
  <si>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</si>
  <si>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</si>
  <si>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</si>
  <si>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</si>
  <si>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</si>
  <si>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</si>
  <si>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</si>
  <si>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</si>
  <si>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</si>
  <si>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</si>
  <si>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</si>
  <si>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</si>
  <si>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</si>
  <si>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</si>
  <si>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</si>
  <si>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</si>
  <si>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</si>
  <si>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</si>
  <si>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</si>
  <si>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</si>
  <si>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</si>
  <si>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</si>
  <si>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</si>
  <si>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</si>
  <si>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</si>
  <si>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</si>
  <si>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</si>
  <si>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</si>
  <si>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</si>
  <si>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</si>
  <si>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</si>
  <si>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</si>
  <si>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</si>
  <si>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</si>
  <si>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</si>
  <si>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</si>
  <si>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</si>
  <si>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</si>
  <si>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</si>
  <si>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</si>
  <si>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</si>
  <si>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</si>
  <si>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</si>
  <si>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</si>
  <si>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</si>
  <si>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</si>
  <si>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</si>
  <si>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</si>
  <si>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</si>
  <si>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</si>
  <si>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</si>
  <si>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</si>
  <si>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</si>
  <si>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</si>
  <si>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</si>
  <si>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</si>
  <si>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</si>
  <si>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</si>
  <si>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</si>
  <si>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</si>
  <si>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</si>
  <si>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</si>
  <si>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</si>
  <si>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</si>
  <si>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</si>
  <si>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</si>
  <si>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</si>
  <si>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</si>
  <si>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</si>
  <si>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</si>
  <si>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</si>
  <si>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</si>
  <si>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</si>
  <si>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</si>
  <si>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</si>
  <si>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</si>
  <si>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</si>
  <si>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</si>
  <si>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</si>
  <si>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</si>
  <si>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</si>
  <si>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</si>
  <si>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</si>
  <si>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</si>
  <si>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</si>
  <si>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</si>
  <si>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</si>
  <si>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</si>
  <si>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</si>
  <si>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</si>
  <si>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</si>
  <si>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</si>
  <si>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</si>
  <si>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</si>
  <si>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</si>
  <si>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</si>
  <si>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</si>
  <si>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</si>
  <si>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</si>
  <si>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</si>
  <si>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</si>
  <si>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</si>
  <si>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</si>
  <si>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</si>
  <si>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</si>
  <si>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</si>
  <si>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</si>
  <si>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</si>
  <si>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</si>
  <si>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</si>
  <si>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</si>
  <si>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</si>
  <si>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</si>
  <si>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</si>
  <si>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</si>
  <si>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</si>
  <si>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</si>
  <si>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</si>
  <si>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</si>
  <si>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</si>
  <si>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</si>
  <si>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</si>
  <si>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</si>
  <si>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</si>
  <si>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</si>
  <si>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</si>
  <si>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</si>
  <si>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</si>
  <si>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</si>
  <si>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</si>
  <si>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</si>
  <si>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</si>
  <si>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</si>
  <si>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</si>
  <si>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</si>
  <si>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</si>
  <si>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</si>
  <si>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</si>
  <si>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</si>
  <si>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</si>
  <si>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</si>
  <si>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</si>
  <si>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</si>
  <si>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</si>
  <si>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</si>
  <si>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</si>
  <si>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</si>
  <si>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</si>
  <si>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</si>
  <si>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</si>
  <si>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</si>
  <si>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</si>
  <si>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</si>
  <si>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</si>
  <si>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</si>
  <si>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</si>
  <si>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</si>
  <si>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</si>
  <si>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</si>
  <si>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</si>
  <si>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</si>
  <si>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</si>
  <si>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</si>
  <si>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</si>
  <si>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</si>
  <si>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</si>
  <si>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</si>
  <si>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</si>
  <si>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</si>
  <si>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</si>
  <si>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</si>
  <si>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</si>
  <si>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</si>
  <si>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</si>
  <si>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</si>
  <si>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</si>
  <si>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</si>
  <si>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</si>
  <si>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</si>
  <si>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</si>
  <si>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</si>
  <si>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</si>
  <si>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</si>
  <si>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</si>
  <si>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</si>
  <si>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</si>
  <si>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</si>
  <si>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</si>
  <si>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</si>
  <si>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</si>
  <si>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</si>
  <si>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</si>
  <si>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</si>
  <si>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</si>
  <si>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</si>
  <si>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</si>
  <si>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</si>
  <si>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</si>
  <si>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</si>
  <si>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</si>
  <si>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</si>
  <si>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</si>
  <si>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</si>
  <si>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</si>
  <si>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</si>
  <si>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</si>
  <si>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</si>
  <si>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</si>
  <si>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</si>
  <si>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</si>
  <si>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</si>
  <si>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</si>
  <si>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</si>
  <si>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</si>
  <si>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</si>
  <si>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</si>
  <si>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</si>
  <si>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</si>
  <si>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</si>
  <si>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</si>
  <si>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</si>
  <si>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</si>
  <si>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</si>
  <si>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</si>
  <si>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</si>
  <si>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</si>
  <si>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</si>
  <si>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</si>
  <si>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</si>
  <si>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</si>
  <si>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</si>
  <si>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</si>
  <si>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</si>
  <si>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</si>
  <si>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</si>
  <si>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</si>
  <si>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</si>
  <si>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</si>
  <si>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</si>
  <si>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</si>
  <si>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</si>
  <si>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</si>
  <si>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</si>
  <si>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</si>
  <si>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</si>
  <si>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</si>
  <si>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</si>
  <si>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</si>
  <si>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</si>
  <si>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</si>
  <si>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</si>
  <si>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</si>
  <si>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</si>
  <si>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</si>
  <si>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</si>
  <si>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</si>
  <si>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</si>
  <si>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</si>
  <si>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</si>
  <si>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</si>
  <si>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</si>
  <si>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</si>
  <si>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</si>
  <si>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</si>
  <si>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</si>
  <si>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</si>
  <si>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</si>
  <si>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</si>
  <si>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</si>
  <si>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</si>
  <si>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</si>
  <si>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</si>
  <si>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</si>
  <si>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</si>
  <si>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</si>
  <si>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</si>
  <si>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</si>
  <si>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</si>
  <si>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</si>
  <si>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</si>
  <si>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</si>
  <si>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</si>
  <si>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</si>
  <si>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</si>
  <si>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</si>
  <si>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</si>
  <si>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</si>
  <si>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</si>
  <si>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</si>
  <si>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</si>
  <si>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</si>
  <si>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</si>
  <si>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</si>
  <si>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</si>
  <si>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</si>
  <si>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</si>
  <si>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</si>
  <si>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</si>
  <si>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</si>
  <si>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</si>
  <si>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</si>
  <si>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</si>
  <si>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</si>
  <si>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</si>
  <si>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</si>
  <si>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</si>
  <si>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</si>
  <si>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</si>
  <si>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</si>
  <si>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</si>
  <si>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</si>
  <si>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</si>
  <si>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</si>
  <si>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</si>
  <si>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</si>
  <si>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</si>
  <si>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</si>
  <si>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</si>
  <si>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</si>
  <si>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</si>
  <si>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</si>
  <si>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</si>
  <si>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</si>
  <si>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</si>
  <si>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</si>
  <si>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</si>
  <si>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</si>
  <si>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</si>
  <si>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</si>
  <si>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</si>
  <si>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</si>
  <si>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</si>
  <si>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</si>
  <si>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</si>
  <si>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</si>
  <si>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</si>
  <si>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</si>
  <si>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</si>
  <si>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</si>
  <si>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</si>
  <si>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</si>
  <si>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</si>
  <si>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</si>
  <si>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</si>
  <si>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</si>
  <si>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</si>
  <si>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</si>
  <si>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</si>
  <si>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</si>
  <si>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</si>
  <si>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</si>
  <si>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</si>
  <si>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</si>
  <si>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</si>
  <si>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</si>
  <si>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</si>
  <si>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</si>
  <si>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</si>
  <si>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</si>
  <si>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</si>
  <si>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</si>
  <si>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</si>
  <si>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</si>
  <si>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</si>
  <si>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</si>
  <si>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</si>
  <si>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</si>
  <si>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</si>
  <si>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</si>
  <si>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</si>
  <si>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</si>
  <si>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</si>
  <si>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</si>
  <si>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</si>
  <si>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</si>
  <si>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</si>
  <si>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</si>
  <si>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</si>
  <si>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</si>
  <si>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</si>
  <si>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</si>
  <si>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</si>
  <si>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</si>
  <si>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</si>
  <si>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</si>
  <si>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</si>
  <si>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</si>
  <si>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</si>
  <si>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</si>
  <si>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</si>
  <si>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</si>
  <si>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</si>
  <si>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</si>
  <si>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</si>
  <si>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</si>
  <si>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</si>
  <si>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</si>
  <si>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</si>
  <si>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</si>
  <si>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</si>
  <si>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</si>
  <si>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</si>
  <si>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</si>
  <si>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</si>
  <si>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</si>
  <si>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</si>
  <si>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</si>
  <si>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</si>
  <si>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</si>
  <si>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</si>
  <si>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</si>
  <si>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</si>
  <si>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</si>
  <si>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</si>
  <si>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</si>
  <si>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</si>
  <si>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</si>
  <si>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</si>
  <si>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</si>
  <si>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</si>
  <si>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</si>
  <si>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</si>
  <si>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</si>
  <si>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</si>
  <si>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</si>
  <si>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</si>
  <si>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</si>
  <si>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</si>
  <si>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</si>
  <si>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</si>
  <si>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</si>
  <si>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</si>
  <si>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</si>
  <si>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</si>
  <si>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</si>
  <si>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</si>
  <si>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</si>
  <si>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</si>
  <si>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</si>
  <si>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</si>
  <si>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</si>
  <si>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</si>
  <si>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</si>
  <si>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</si>
  <si>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</si>
  <si>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</si>
  <si>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</si>
  <si>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</si>
  <si>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</si>
  <si>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</si>
  <si>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</si>
  <si>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</si>
  <si>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</si>
  <si>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</si>
  <si>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</si>
  <si>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</si>
  <si>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</si>
  <si>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</si>
  <si>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</si>
  <si>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</si>
  <si>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</si>
  <si>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</si>
  <si>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</si>
  <si>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</si>
  <si>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</si>
  <si>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</si>
  <si>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</si>
  <si>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</si>
  <si>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</si>
  <si>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</si>
  <si>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</si>
  <si>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</si>
  <si>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</si>
  <si>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</si>
  <si>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</si>
  <si>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</si>
  <si>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</si>
  <si>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</si>
  <si>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</si>
  <si>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</si>
  <si>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</si>
  <si>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</si>
  <si>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</si>
  <si>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</si>
  <si>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</si>
  <si>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</si>
  <si>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</si>
  <si>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</si>
  <si>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</si>
  <si>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</si>
  <si>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</si>
  <si>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</si>
  <si>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</si>
  <si>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</si>
  <si>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</si>
  <si>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</si>
  <si>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</si>
  <si>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</si>
  <si>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</si>
  <si>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</si>
  <si>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</si>
  <si>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</si>
  <si>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</si>
  <si>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</si>
  <si>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</si>
  <si>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</si>
  <si>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</si>
  <si>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</si>
  <si>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</si>
  <si>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</si>
  <si>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</si>
  <si>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</si>
  <si>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</si>
  <si>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</si>
  <si>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</si>
  <si>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</si>
  <si>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</si>
  <si>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</si>
  <si>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</si>
  <si>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</si>
  <si>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</si>
  <si>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</si>
  <si>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</si>
  <si>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</si>
  <si>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</si>
  <si>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</si>
  <si>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</si>
  <si>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</si>
  <si>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</si>
  <si>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</si>
  <si>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</si>
  <si>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</si>
  <si>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</si>
  <si>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</si>
  <si>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</si>
  <si>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</si>
  <si>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</si>
  <si>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</si>
  <si>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</si>
  <si>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</si>
  <si>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</si>
  <si>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</si>
  <si>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</si>
  <si>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</si>
  <si>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</si>
  <si>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</si>
  <si>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</si>
  <si>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</si>
  <si>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</si>
  <si>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</si>
  <si>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</si>
  <si>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</si>
  <si>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</si>
  <si>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</si>
  <si>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</si>
  <si>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</si>
  <si>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</si>
  <si>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</si>
  <si>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</si>
  <si>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</si>
  <si>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</si>
  <si>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</si>
  <si>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</si>
  <si>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</si>
  <si>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</si>
  <si>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</si>
  <si>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</si>
  <si>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</si>
  <si>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</si>
  <si>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</si>
  <si>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</si>
  <si>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</si>
  <si>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</si>
  <si>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</si>
  <si>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</si>
  <si>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</si>
  <si>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</si>
  <si>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</si>
  <si>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</si>
  <si>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</si>
  <si>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</si>
  <si>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</si>
  <si>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</si>
  <si>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</si>
  <si>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</si>
  <si>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</si>
  <si>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</si>
  <si>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</si>
  <si>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</si>
  <si>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</si>
  <si>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</si>
  <si>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</si>
  <si>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</si>
  <si>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</si>
  <si>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</si>
  <si>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</si>
  <si>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</si>
  <si>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</si>
  <si>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</si>
  <si>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</si>
  <si>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</si>
  <si>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</si>
  <si>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</si>
  <si>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</si>
  <si>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</si>
  <si>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</si>
  <si>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</si>
  <si>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</si>
  <si>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</si>
  <si>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</si>
  <si>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</si>
  <si>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</si>
  <si>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</si>
  <si>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</si>
  <si>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</si>
  <si>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</si>
  <si>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</si>
  <si>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</si>
  <si>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</si>
  <si>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</si>
  <si>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</si>
  <si>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</si>
  <si>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</si>
  <si>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</si>
  <si>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</si>
  <si>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</si>
  <si>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</si>
  <si>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</si>
  <si>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</si>
  <si>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</si>
  <si>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</si>
  <si>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</si>
  <si>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</si>
  <si>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</si>
  <si>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</si>
  <si>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</si>
  <si>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</si>
  <si>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</si>
  <si>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</si>
  <si>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</si>
  <si>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</si>
  <si>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</si>
  <si>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</si>
  <si>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</si>
  <si>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</si>
  <si>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</si>
  <si>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</si>
  <si>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</si>
  <si>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</si>
  <si>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</si>
  <si>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</si>
  <si>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</si>
  <si>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</si>
  <si>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</si>
  <si>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</si>
  <si>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</si>
  <si>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</si>
  <si>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</si>
  <si>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</si>
  <si>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</si>
  <si>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</si>
  <si>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</si>
  <si>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</si>
  <si>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</si>
  <si>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</si>
  <si>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</si>
  <si>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</si>
  <si>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</si>
  <si>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</si>
  <si>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</si>
  <si>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</si>
  <si>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</si>
  <si>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</si>
  <si>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</si>
  <si>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</si>
  <si>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</si>
  <si>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</si>
  <si>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</si>
  <si>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</si>
  <si>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</si>
  <si>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</si>
  <si>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</si>
  <si>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</si>
  <si>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</si>
  <si>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</si>
  <si>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</si>
  <si>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</si>
  <si>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</si>
  <si>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</si>
  <si>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</si>
  <si>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</si>
  <si>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</si>
  <si>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</si>
  <si>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</si>
  <si>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</si>
  <si>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</si>
  <si>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</si>
  <si>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</si>
  <si>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</si>
  <si>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</si>
  <si>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</si>
  <si>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</si>
  <si>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</si>
  <si>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</si>
  <si>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</si>
  <si>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</si>
  <si>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</si>
  <si>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</si>
  <si>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</si>
  <si>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</si>
  <si>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</si>
  <si>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</si>
  <si>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</si>
  <si>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</si>
  <si>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</si>
  <si>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</si>
  <si>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</si>
  <si>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</si>
  <si>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</si>
  <si>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</si>
  <si>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</si>
  <si>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</si>
  <si>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</si>
  <si>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</si>
  <si>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</si>
  <si>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</si>
  <si>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</si>
  <si>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</si>
  <si>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</si>
  <si>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</si>
  <si>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</si>
  <si>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</si>
  <si>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</si>
  <si>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</si>
  <si>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</si>
  <si>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</si>
  <si>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</si>
  <si>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</si>
  <si>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</si>
  <si>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</si>
  <si>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</si>
  <si>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</si>
  <si>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</si>
  <si>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</si>
  <si>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</si>
  <si>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</si>
  <si>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</si>
  <si>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</si>
  <si>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</si>
  <si>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</si>
  <si>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</si>
  <si>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</si>
  <si>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</si>
  <si>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</si>
  <si>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</si>
  <si>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</si>
  <si>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</si>
  <si>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</si>
  <si>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</si>
  <si>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</si>
  <si>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</si>
  <si>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</si>
  <si>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</si>
  <si>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</si>
  <si>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</si>
  <si>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</si>
  <si>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</si>
  <si>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</si>
  <si>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</si>
  <si>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</si>
  <si>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</si>
  <si>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</si>
  <si>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</si>
  <si>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</si>
  <si>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</si>
  <si>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</si>
  <si>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</si>
  <si>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</si>
  <si>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</si>
  <si>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</si>
  <si>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</si>
  <si>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</si>
  <si>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</si>
  <si>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</si>
  <si>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</si>
  <si>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</si>
  <si>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</si>
  <si>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</si>
  <si>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</si>
  <si>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</si>
  <si>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</si>
  <si>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</si>
  <si>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</si>
  <si>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</si>
  <si>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</si>
  <si>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</si>
  <si>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</si>
  <si>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</si>
  <si>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</si>
  <si>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</si>
  <si>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</si>
  <si>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</si>
  <si>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</si>
  <si>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</si>
  <si>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</si>
  <si>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</si>
  <si>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</si>
  <si>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</si>
  <si>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</si>
  <si>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</si>
  <si>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</si>
  <si>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</si>
  <si>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</si>
  <si>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</si>
  <si>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</si>
  <si>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</si>
  <si>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</si>
  <si>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</si>
  <si>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</si>
  <si>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</si>
  <si>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</si>
  <si>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</si>
  <si>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</si>
  <si>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</si>
  <si>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</si>
  <si>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</si>
  <si>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</si>
  <si>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</si>
  <si>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</si>
  <si>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</si>
  <si>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</si>
  <si>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</si>
  <si>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</si>
  <si>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</si>
  <si>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</si>
  <si>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</si>
  <si>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</si>
  <si>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</si>
  <si>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</si>
  <si>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</si>
  <si>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</si>
  <si>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</si>
  <si>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</si>
  <si>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</si>
  <si>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</si>
  <si>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</si>
  <si>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</si>
  <si>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</si>
  <si>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</si>
  <si>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</si>
  <si>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</si>
  <si>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</si>
  <si>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</si>
  <si>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</si>
  <si>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</si>
  <si>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</si>
  <si>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</si>
  <si>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</si>
  <si>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</si>
  <si>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</si>
  <si>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</si>
  <si>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</si>
  <si>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</si>
  <si>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</si>
  <si>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</si>
  <si>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</si>
  <si>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</si>
  <si>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</si>
  <si>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</si>
  <si>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</si>
  <si>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</si>
  <si>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</si>
  <si>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</si>
  <si>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</si>
  <si>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</si>
  <si>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</si>
  <si>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</si>
  <si>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</si>
  <si>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</si>
  <si>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</si>
  <si>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</si>
  <si>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</si>
  <si>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</si>
  <si>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</si>
  <si>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</si>
  <si>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</si>
  <si>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</si>
  <si>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</si>
  <si>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</si>
  <si>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</si>
  <si>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</si>
  <si>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</si>
  <si>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</si>
  <si>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</si>
  <si>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</si>
  <si>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</si>
  <si>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</si>
  <si>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</si>
  <si>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</si>
  <si>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</si>
  <si>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</si>
  <si>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</si>
  <si>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</si>
  <si>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</si>
  <si>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</si>
  <si>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</si>
  <si>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</si>
  <si>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</si>
  <si>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</si>
  <si>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</si>
  <si>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</si>
  <si>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</si>
  <si>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</si>
  <si>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</si>
  <si>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</si>
  <si>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</si>
  <si>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</si>
  <si>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</si>
  <si>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</si>
  <si>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</si>
  <si>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</si>
  <si>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</si>
  <si>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</si>
  <si>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</si>
  <si>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</si>
  <si>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</si>
  <si>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</si>
  <si>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</si>
  <si>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</si>
  <si>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</si>
  <si>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</si>
  <si>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</si>
  <si>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</si>
  <si>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</si>
  <si>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</si>
  <si>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</si>
  <si>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</si>
  <si>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</si>
  <si>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</si>
  <si>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</si>
  <si>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</si>
  <si>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</si>
  <si>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</si>
  <si>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</si>
  <si>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</si>
  <si>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</si>
  <si>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</si>
  <si>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</si>
  <si>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</si>
  <si>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</si>
  <si>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</si>
  <si>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</si>
  <si>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</si>
  <si>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</si>
  <si>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</si>
  <si>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</si>
  <si>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</si>
  <si>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</si>
  <si>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</si>
  <si>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</si>
  <si>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</si>
  <si>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</si>
  <si>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</si>
  <si>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</si>
  <si>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</si>
  <si>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</si>
  <si>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</si>
  <si>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</si>
  <si>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</si>
  <si>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</si>
  <si>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</si>
  <si>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</si>
  <si>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</si>
  <si>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</si>
  <si>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</si>
  <si>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</si>
  <si>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</si>
  <si>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</si>
  <si>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</si>
  <si>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</si>
  <si>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</si>
  <si>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</si>
  <si>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</si>
  <si>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</si>
  <si>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</si>
  <si>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</si>
  <si>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</si>
  <si>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</si>
  <si>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</si>
  <si>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</si>
  <si>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</si>
  <si>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</si>
  <si>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</si>
  <si>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</si>
  <si>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</si>
  <si>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</si>
  <si>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</si>
  <si>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</si>
  <si>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</si>
  <si>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</si>
  <si>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</si>
  <si>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</si>
  <si>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</si>
  <si>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</si>
  <si>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</si>
  <si>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</si>
  <si>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</si>
  <si>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</si>
  <si>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</si>
  <si>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</si>
  <si>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</si>
  <si>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</si>
  <si>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</si>
  <si>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</si>
  <si>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</si>
  <si>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</si>
  <si>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</si>
  <si>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</si>
  <si>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</si>
  <si>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</si>
  <si>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</si>
  <si>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</si>
  <si>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</si>
  <si>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</si>
  <si>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</si>
  <si>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</si>
  <si>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</si>
  <si>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</si>
  <si>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</si>
  <si>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</si>
  <si>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</si>
  <si>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</si>
  <si>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</si>
  <si>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</si>
  <si>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</si>
  <si>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</si>
  <si>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</si>
  <si>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</si>
  <si>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</si>
  <si>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</si>
  <si>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</si>
  <si>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</si>
  <si>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</si>
  <si>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</si>
  <si>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</si>
  <si>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</si>
  <si>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</si>
  <si>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</si>
  <si>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</si>
  <si>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</si>
  <si>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</si>
  <si>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</si>
  <si>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</si>
  <si>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</si>
  <si>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</si>
  <si>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</si>
  <si>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</si>
  <si>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</si>
  <si>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</si>
  <si>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</si>
  <si>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</si>
  <si>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</si>
  <si>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</si>
  <si>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</si>
  <si>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</si>
  <si>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</si>
  <si>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</si>
  <si>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</si>
  <si>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</si>
  <si>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</si>
  <si>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</si>
  <si>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</si>
  <si>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</si>
  <si>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</si>
  <si>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</si>
  <si>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</si>
  <si>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</si>
  <si>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</si>
  <si>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</si>
  <si>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</si>
  <si>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</si>
  <si>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</si>
  <si>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</si>
  <si>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</si>
  <si>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</si>
  <si>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</si>
  <si>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</si>
  <si>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</si>
  <si>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</si>
  <si>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</si>
  <si>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</si>
  <si>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</si>
  <si>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</si>
  <si>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</si>
  <si>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</si>
  <si>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</si>
  <si>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</si>
  <si>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</si>
  <si>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</si>
  <si>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</si>
  <si>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</si>
  <si>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</si>
  <si>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</si>
  <si>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</si>
  <si>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</si>
  <si>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</si>
  <si>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</si>
  <si>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</si>
  <si>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</si>
  <si>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</si>
  <si>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</si>
  <si>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</si>
  <si>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</si>
  <si>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</si>
  <si>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</si>
  <si>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</si>
  <si>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</si>
  <si>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</si>
  <si>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</si>
  <si>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</si>
  <si>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</si>
  <si>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</si>
  <si>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</si>
  <si>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</si>
  <si>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</si>
  <si>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</si>
  <si>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</si>
  <si>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</si>
  <si>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</si>
  <si>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</si>
  <si>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</si>
  <si>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</si>
  <si>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</si>
  <si>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</si>
  <si>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</si>
  <si>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</si>
  <si>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</si>
  <si>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</si>
  <si>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</si>
  <si>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</si>
  <si>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</si>
  <si>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</si>
  <si>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</si>
  <si>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</si>
  <si>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</si>
  <si>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</si>
  <si>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</si>
  <si>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</si>
  <si>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</si>
  <si>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</si>
  <si>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</si>
  <si>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</si>
  <si>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</si>
  <si>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</si>
  <si>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</si>
  <si>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</si>
  <si>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</si>
  <si>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</si>
  <si>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</si>
  <si>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</si>
  <si>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</si>
  <si>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</si>
  <si>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</si>
  <si>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</si>
  <si>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</si>
  <si>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</si>
  <si>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</si>
  <si>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</si>
  <si>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</si>
  <si>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</si>
  <si>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</si>
  <si>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</si>
  <si>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</si>
  <si>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</si>
  <si>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</si>
  <si>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</si>
  <si>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</si>
  <si>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</si>
  <si>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</si>
  <si>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</si>
  <si>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</si>
  <si>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</si>
  <si>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</si>
  <si>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</si>
  <si>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</si>
  <si>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</si>
  <si>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</si>
  <si>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</si>
  <si>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</si>
  <si>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</si>
  <si>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</si>
  <si>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</si>
  <si>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</si>
  <si>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</si>
  <si>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</si>
  <si>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</si>
  <si>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</si>
  <si>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</si>
  <si>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</si>
  <si>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</si>
  <si>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</si>
  <si>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</si>
  <si>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</si>
  <si>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</si>
  <si>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</si>
  <si>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</si>
  <si>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</si>
  <si>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</si>
  <si>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</si>
  <si>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</si>
  <si>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</si>
  <si>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</si>
  <si>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</si>
  <si>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</si>
  <si>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</si>
  <si>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</si>
  <si>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</si>
  <si>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</si>
  <si>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</si>
  <si>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</si>
  <si>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</si>
  <si>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</si>
  <si>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</si>
  <si>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</si>
  <si>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</si>
  <si>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</si>
  <si>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</si>
  <si>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</si>
  <si>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</si>
  <si>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</si>
  <si>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</si>
  <si>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</si>
  <si>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</si>
  <si>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</si>
  <si>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</si>
  <si>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</si>
  <si>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</si>
  <si>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</si>
  <si>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</si>
  <si>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</si>
  <si>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</si>
  <si>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</si>
  <si>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</si>
  <si>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</si>
  <si>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</si>
  <si>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</si>
  <si>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</si>
  <si>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</si>
  <si>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</si>
  <si>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</si>
  <si>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</si>
  <si>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</si>
  <si>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</si>
  <si>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</si>
  <si>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</si>
  <si>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</si>
  <si>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</si>
  <si>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</si>
  <si>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</si>
  <si>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</si>
  <si>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</si>
  <si>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</si>
  <si>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</si>
  <si>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</si>
  <si>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</si>
  <si>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</si>
  <si>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</si>
  <si>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</si>
  <si>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</si>
  <si>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</si>
  <si>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</si>
  <si>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</si>
  <si>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</si>
  <si>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</si>
  <si>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</si>
  <si>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</si>
  <si>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</si>
  <si>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</si>
  <si>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</si>
  <si>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</si>
  <si>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</si>
  <si>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</si>
  <si>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</si>
  <si>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</si>
  <si>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</si>
  <si>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</si>
  <si>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</si>
  <si>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</si>
  <si>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</si>
  <si>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</si>
  <si>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</si>
  <si>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</si>
  <si>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</si>
  <si>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</si>
  <si>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</si>
  <si>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</si>
  <si>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</si>
  <si>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</si>
  <si>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</si>
  <si>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</si>
  <si>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</si>
  <si>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</si>
  <si>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</si>
  <si>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</si>
  <si>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</si>
  <si>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</si>
  <si>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</si>
  <si>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</si>
  <si>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</si>
  <si>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</si>
  <si>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</si>
  <si>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</si>
  <si>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</si>
  <si>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</si>
  <si>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</si>
  <si>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</si>
  <si>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</si>
  <si>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</si>
  <si>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</si>
  <si>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</si>
  <si>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</si>
  <si>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</si>
  <si>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</si>
  <si>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</si>
  <si>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</si>
  <si>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</si>
  <si>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</si>
  <si>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</si>
  <si>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</si>
  <si>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</si>
  <si>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</si>
  <si>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</si>
  <si>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</si>
  <si>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</si>
  <si>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</si>
  <si>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</si>
  <si>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</si>
  <si>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</si>
  <si>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</si>
  <si>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</si>
  <si>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</si>
  <si>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</si>
  <si>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</si>
  <si>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</si>
  <si>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</si>
  <si>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</si>
  <si>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</si>
  <si>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</si>
  <si>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</si>
  <si>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</si>
  <si>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</si>
  <si>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</si>
  <si>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</si>
  <si>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</si>
  <si>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</si>
  <si>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</si>
  <si>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</si>
  <si>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</si>
  <si>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</si>
  <si>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</si>
  <si>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</si>
  <si>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</si>
  <si>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</si>
  <si>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</si>
  <si>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</si>
  <si>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</si>
  <si>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</si>
  <si>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</si>
  <si>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</si>
  <si>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</si>
  <si>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</si>
  <si>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</si>
  <si>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</si>
  <si>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</si>
  <si>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</si>
  <si>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</si>
  <si>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</si>
  <si>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</si>
  <si>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</si>
  <si>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</si>
  <si>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</si>
  <si>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</si>
  <si>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</si>
  <si>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</si>
  <si>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</si>
  <si>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</si>
  <si>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</si>
  <si>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</si>
  <si>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</si>
  <si>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</si>
  <si>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</si>
  <si>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</si>
  <si>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</si>
  <si>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</si>
  <si>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</si>
  <si>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</si>
  <si>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</si>
  <si>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</si>
  <si>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</si>
  <si>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</si>
  <si>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</si>
  <si>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</si>
  <si>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</si>
  <si>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</si>
  <si>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</si>
  <si>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</si>
  <si>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</si>
  <si>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</si>
  <si>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</si>
  <si>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</si>
  <si>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</si>
  <si>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</si>
  <si>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</si>
  <si>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</si>
  <si>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</si>
  <si>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</si>
  <si>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</si>
  <si>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</si>
  <si>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</si>
  <si>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</si>
  <si>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</si>
  <si>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</si>
  <si>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</si>
  <si>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</si>
  <si>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</si>
  <si>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</si>
  <si>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</si>
  <si>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</si>
  <si>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</si>
  <si>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</si>
  <si>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</si>
  <si>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</si>
  <si>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</si>
  <si>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</si>
  <si>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</si>
  <si>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</si>
  <si>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</si>
  <si>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</si>
  <si>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</si>
  <si>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</si>
  <si>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</si>
  <si>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</si>
  <si>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</si>
  <si>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</si>
  <si>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</si>
  <si>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</si>
  <si>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</si>
  <si>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</si>
  <si>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</si>
  <si>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</si>
  <si>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</si>
  <si>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</si>
  <si>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</si>
  <si>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</si>
  <si>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</si>
  <si>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</si>
  <si>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</si>
  <si>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</si>
  <si>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</si>
  <si>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</si>
  <si>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</si>
  <si>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</si>
  <si>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</si>
  <si>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</si>
  <si>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</si>
  <si>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</si>
  <si>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</si>
  <si>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</si>
  <si>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</si>
  <si>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</si>
  <si>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</si>
  <si>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</si>
  <si>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</si>
  <si>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</si>
  <si>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</si>
  <si>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</si>
  <si>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</si>
  <si>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</si>
  <si>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</si>
  <si>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</si>
  <si>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</si>
  <si>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</si>
  <si>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</si>
  <si>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</si>
  <si>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</si>
  <si>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</si>
  <si>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</si>
  <si>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</si>
  <si>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</si>
  <si>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</si>
  <si>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</si>
  <si>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</si>
  <si>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</si>
  <si>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</si>
  <si>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</si>
  <si>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</si>
  <si>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</si>
  <si>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</si>
  <si>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</si>
  <si>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</si>
  <si>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</si>
  <si>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</si>
  <si>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</si>
  <si>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</si>
  <si>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</si>
  <si>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</si>
  <si>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</si>
  <si>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</si>
  <si>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</si>
  <si>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</si>
  <si>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</si>
  <si>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</si>
  <si>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</si>
  <si>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</si>
  <si>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</si>
  <si>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</si>
  <si>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</si>
  <si>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</si>
  <si>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</si>
  <si>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</si>
  <si>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</si>
  <si>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</si>
  <si>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</si>
  <si>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</si>
  <si>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</si>
  <si>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</si>
  <si>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</si>
  <si>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</si>
  <si>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</si>
  <si>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</si>
  <si>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</si>
  <si>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</si>
  <si>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</si>
  <si>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</si>
  <si>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</si>
  <si>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</si>
  <si>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</si>
  <si>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</si>
  <si>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</si>
  <si>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</si>
  <si>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</si>
  <si>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</si>
  <si>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</si>
  <si>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</si>
  <si>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</si>
  <si>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</si>
  <si>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</si>
  <si>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</si>
  <si>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</si>
  <si>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</si>
  <si>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</si>
  <si>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</si>
  <si>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</si>
  <si>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</si>
  <si>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</si>
  <si>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</si>
  <si>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</si>
  <si>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</si>
  <si>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</si>
  <si>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</si>
  <si>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</si>
  <si>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</si>
  <si>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</si>
  <si>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</si>
  <si>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</si>
  <si>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</si>
  <si>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</si>
  <si>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</si>
  <si>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</si>
  <si>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</si>
  <si>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</si>
  <si>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</si>
  <si>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</si>
  <si>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</si>
  <si>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</si>
  <si>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</si>
  <si>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</si>
  <si>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</si>
  <si>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</si>
  <si>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</si>
  <si>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</si>
  <si>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</si>
  <si>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</si>
  <si>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</si>
  <si>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</si>
  <si>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</si>
  <si>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</si>
  <si>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</si>
  <si>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</si>
  <si>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</si>
  <si>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</si>
  <si>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</si>
  <si>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</si>
  <si>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</si>
  <si>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</si>
  <si>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</si>
  <si>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</si>
  <si>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</si>
  <si>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</si>
  <si>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</si>
  <si>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</si>
  <si>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</si>
  <si>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</si>
  <si>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</si>
  <si>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</si>
  <si>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</si>
  <si>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</si>
  <si>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</si>
  <si>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</si>
  <si>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</si>
  <si>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</si>
  <si>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</si>
  <si>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</si>
  <si>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</si>
  <si>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</si>
  <si>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</si>
  <si>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</si>
  <si>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</si>
  <si>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</si>
  <si>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</si>
  <si>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</si>
  <si>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</si>
  <si>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</si>
  <si>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</si>
  <si>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</si>
  <si>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</si>
  <si>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</si>
  <si>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</si>
  <si>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</si>
  <si>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</si>
  <si>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</si>
  <si>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</si>
  <si>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</si>
  <si>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</si>
  <si>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</si>
  <si>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</si>
  <si>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</si>
  <si>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</si>
  <si>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</si>
  <si>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</si>
  <si>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</si>
  <si>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</si>
  <si>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</si>
  <si>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</si>
  <si>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</si>
  <si>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</si>
  <si>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</si>
  <si>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</si>
  <si>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</si>
  <si>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</si>
  <si>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</si>
  <si>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</si>
  <si>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</si>
  <si>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</si>
  <si>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</si>
  <si>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</si>
  <si>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</si>
  <si>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</si>
  <si>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</si>
  <si>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</si>
  <si>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</si>
  <si>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</si>
  <si>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</si>
  <si>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</si>
  <si>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</si>
  <si>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</si>
  <si>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</si>
  <si>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</si>
  <si>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</si>
  <si>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</si>
  <si>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</si>
  <si>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</si>
  <si>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</si>
  <si>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</si>
  <si>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</si>
  <si>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</si>
  <si>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</si>
  <si>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</si>
  <si>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</si>
  <si>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</si>
  <si>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</si>
  <si>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</si>
  <si>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</si>
  <si>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</si>
  <si>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</si>
  <si>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</si>
  <si>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</si>
  <si>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</si>
  <si>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</si>
  <si>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</si>
  <si>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</si>
  <si>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</si>
  <si>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</si>
  <si>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</si>
  <si>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</si>
  <si>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</si>
  <si>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</si>
  <si>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</si>
  <si>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</si>
  <si>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</si>
  <si>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</si>
  <si>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</si>
  <si>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</si>
  <si>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</si>
  <si>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</si>
  <si>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</si>
  <si>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</si>
  <si>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</si>
  <si>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</si>
  <si>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</si>
  <si>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</si>
  <si>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</si>
  <si>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</si>
  <si>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</si>
  <si>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</si>
  <si>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</si>
  <si>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</si>
  <si>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</si>
  <si>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</si>
  <si>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</si>
  <si>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</si>
  <si>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</si>
  <si>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</si>
  <si>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</si>
  <si>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</si>
  <si>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</si>
  <si>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</si>
  <si>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</si>
  <si>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</si>
  <si>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</si>
  <si>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</si>
  <si>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</si>
  <si>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</si>
  <si>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</si>
  <si>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</si>
  <si>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</si>
  <si>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</si>
  <si>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</si>
  <si>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</si>
  <si>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</si>
  <si>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</si>
  <si>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</si>
  <si>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</si>
  <si>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</si>
  <si>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</si>
  <si>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</si>
  <si>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</si>
  <si>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</si>
  <si>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</si>
  <si>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</si>
  <si>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</si>
  <si>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</si>
  <si>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</si>
  <si>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</si>
  <si>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</si>
  <si>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</si>
  <si>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</si>
  <si>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</si>
  <si>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</si>
  <si>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</si>
  <si>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</si>
  <si>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</si>
  <si>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</si>
  <si>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</si>
  <si>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</si>
  <si>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</si>
  <si>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</si>
  <si>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</si>
  <si>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</si>
  <si>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</si>
  <si>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</si>
  <si>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</si>
  <si>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</si>
  <si>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</si>
  <si>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</si>
  <si>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</si>
  <si>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</si>
  <si>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</si>
  <si>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</si>
  <si>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</si>
  <si>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</si>
  <si>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</si>
  <si>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</si>
  <si>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</si>
  <si>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</si>
  <si>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</si>
  <si>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</si>
  <si>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</si>
  <si>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</si>
  <si>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</si>
  <si>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</si>
  <si>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</si>
  <si>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</si>
  <si>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</si>
  <si>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</si>
  <si>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</si>
  <si>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</si>
  <si>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</si>
  <si>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</si>
  <si>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</si>
  <si>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</si>
  <si>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</si>
  <si>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</si>
  <si>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</si>
  <si>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</si>
  <si>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</si>
  <si>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</si>
  <si>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</si>
  <si>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</si>
  <si>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</si>
  <si>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</si>
  <si>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</si>
  <si>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</si>
  <si>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</si>
  <si>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</si>
  <si>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</si>
  <si>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</si>
  <si>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</si>
  <si>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</si>
  <si>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</si>
  <si>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</si>
  <si>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</si>
  <si>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</si>
  <si>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</si>
  <si>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</si>
  <si>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</si>
  <si>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</si>
  <si>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</si>
  <si>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</si>
  <si>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</si>
  <si>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</si>
  <si>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</si>
  <si>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</si>
  <si>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</si>
  <si>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</si>
  <si>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</si>
  <si>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</si>
  <si>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</si>
  <si>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</si>
  <si>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</si>
  <si>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</si>
  <si>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</si>
  <si>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</si>
  <si>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</si>
  <si>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</si>
  <si>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</si>
  <si>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</si>
  <si>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</si>
  <si>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</si>
  <si>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</si>
  <si>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</si>
  <si>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</si>
  <si>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</si>
  <si>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</si>
  <si>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</si>
  <si>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</si>
  <si>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</si>
  <si>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</si>
  <si>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</si>
  <si>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</si>
  <si>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</si>
  <si>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</si>
  <si>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</si>
  <si>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</si>
  <si>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</si>
  <si>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</si>
  <si>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</si>
  <si>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</si>
  <si>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</si>
  <si>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</si>
  <si>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</si>
  <si>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</si>
  <si>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</si>
  <si>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</si>
  <si>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</si>
  <si>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</si>
  <si>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</si>
  <si>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</si>
  <si>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</si>
  <si>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</si>
  <si>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</si>
  <si>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</si>
  <si>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</si>
  <si>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</si>
  <si>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</si>
  <si>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</si>
  <si>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</si>
  <si>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</si>
  <si>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</si>
  <si>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</si>
  <si>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</si>
  <si>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</si>
  <si>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</si>
  <si>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</si>
  <si>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</si>
  <si>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</si>
  <si>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</si>
  <si>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</si>
  <si>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</si>
  <si>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</si>
  <si>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</si>
  <si>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</si>
  <si>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</si>
  <si>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</si>
  <si>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</si>
  <si>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</si>
  <si>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</si>
  <si>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</si>
  <si>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</si>
  <si>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</si>
  <si>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</si>
  <si>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</si>
  <si>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</si>
  <si>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</si>
  <si>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</si>
  <si>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</si>
  <si>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</si>
  <si>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</si>
  <si>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</si>
  <si>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</si>
  <si>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</si>
  <si>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</si>
  <si>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</si>
  <si>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</si>
  <si>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</si>
  <si>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</si>
  <si>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</si>
  <si>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</si>
  <si>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</si>
  <si>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</si>
  <si>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</si>
  <si>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</si>
  <si>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</si>
  <si>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</si>
  <si>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</si>
  <si>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</si>
  <si>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</si>
  <si>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</si>
  <si>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</si>
  <si>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</si>
  <si>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</si>
  <si>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</si>
  <si>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</si>
  <si>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</si>
  <si>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</si>
  <si>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</si>
  <si>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</si>
  <si>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</si>
  <si>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</si>
  <si>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</si>
  <si>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</si>
  <si>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</si>
  <si>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</si>
  <si>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</si>
  <si>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</si>
  <si>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</si>
  <si>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</si>
  <si>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</si>
  <si>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</si>
  <si>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</si>
  <si>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</si>
  <si>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</si>
  <si>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</si>
  <si>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</si>
  <si>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</si>
  <si>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</si>
  <si>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</si>
  <si>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</si>
  <si>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</si>
  <si>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</si>
  <si>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</si>
  <si>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</si>
  <si>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</si>
  <si>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</si>
  <si>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</si>
  <si>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</si>
  <si>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</si>
  <si>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</si>
  <si>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</si>
  <si>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</si>
  <si>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</si>
  <si>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</si>
  <si>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</si>
  <si>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</si>
  <si>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</si>
  <si>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</si>
  <si>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</si>
  <si>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</si>
  <si>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</si>
  <si>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</si>
  <si>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</si>
  <si>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</si>
  <si>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</si>
  <si>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</si>
  <si>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</si>
  <si>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</si>
  <si>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</si>
  <si>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</si>
  <si>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</si>
  <si>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</si>
  <si>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</si>
  <si>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</si>
  <si>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</si>
  <si>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</si>
  <si>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</si>
  <si>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</si>
  <si>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</si>
  <si>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</si>
  <si>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</si>
  <si>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</si>
  <si>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</si>
  <si>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</si>
  <si>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</si>
  <si>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</si>
  <si>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</si>
  <si>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</si>
  <si>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</si>
  <si>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</si>
  <si>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</si>
  <si>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</si>
  <si>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</si>
  <si>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</si>
  <si>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</si>
  <si>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</si>
  <si>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</si>
  <si>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</si>
  <si>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</si>
  <si>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</si>
  <si>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</si>
  <si>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</si>
  <si>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</si>
  <si>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</si>
  <si>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</si>
  <si>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</si>
  <si>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</si>
  <si>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</si>
  <si>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</si>
  <si>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</si>
  <si>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</si>
  <si>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</si>
  <si>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</si>
  <si>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</si>
  <si>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</si>
  <si>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</si>
  <si>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</si>
  <si>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</si>
  <si>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</si>
  <si>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</si>
  <si>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</si>
  <si>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</si>
  <si>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</si>
  <si>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</si>
  <si>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</si>
  <si>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</si>
  <si>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</si>
  <si>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</si>
  <si>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</si>
  <si>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</si>
  <si>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</si>
  <si>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</si>
  <si>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</si>
  <si>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</si>
  <si>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</si>
  <si>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</si>
  <si>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</si>
  <si>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</si>
  <si>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</si>
  <si>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</si>
  <si>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</si>
  <si>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</si>
  <si>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</si>
  <si>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</si>
  <si>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</si>
  <si>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</si>
  <si>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</si>
  <si>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</si>
  <si>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</si>
  <si>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</si>
  <si>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</si>
  <si>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</si>
  <si>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</si>
  <si>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</si>
  <si>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</si>
  <si>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</si>
  <si>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</si>
  <si>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</si>
  <si>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</si>
  <si>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</si>
  <si>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</si>
  <si>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</si>
  <si>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</si>
  <si>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</si>
  <si>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</si>
  <si>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</si>
  <si>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</si>
  <si>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</si>
  <si>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</si>
  <si>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</si>
  <si>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</si>
  <si>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</si>
  <si>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</si>
  <si>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</si>
  <si>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</si>
  <si>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</si>
  <si>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</si>
  <si>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</si>
  <si>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</si>
  <si>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</si>
  <si>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</si>
  <si>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</si>
  <si>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</si>
  <si>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</si>
  <si>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</si>
  <si>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</si>
  <si>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</si>
  <si>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</si>
  <si>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</si>
  <si>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</si>
  <si>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</si>
  <si>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</si>
  <si>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</si>
  <si>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</si>
  <si>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</si>
  <si>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</si>
  <si>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</si>
  <si>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</si>
  <si>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</si>
  <si>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</si>
  <si>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</si>
  <si>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</si>
  <si>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</si>
  <si>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</si>
  <si>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</si>
  <si>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</si>
  <si>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</si>
  <si>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</si>
  <si>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</si>
  <si>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</si>
  <si>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</si>
  <si>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</si>
  <si>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</si>
  <si>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</si>
  <si>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</si>
  <si>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</si>
  <si>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</si>
  <si>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</si>
  <si>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</si>
  <si>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</si>
  <si>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</si>
  <si>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</si>
  <si>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</si>
  <si>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</si>
  <si>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</si>
  <si>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</si>
  <si>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</si>
  <si>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</si>
  <si>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</si>
  <si>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</si>
  <si>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</si>
  <si>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</si>
  <si>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</si>
  <si>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</si>
  <si>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</si>
  <si>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</si>
  <si>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</si>
  <si>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</si>
  <si>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</si>
  <si>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</si>
  <si>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</si>
  <si>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</si>
  <si>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</si>
  <si>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</si>
  <si>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</si>
  <si>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</si>
  <si>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</si>
  <si>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</si>
  <si>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</si>
  <si>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</si>
  <si>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</si>
  <si>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</si>
  <si>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</si>
  <si>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</si>
  <si>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</si>
  <si>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</si>
  <si>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</si>
  <si>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</si>
  <si>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</si>
  <si>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</si>
  <si>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</si>
  <si>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</si>
  <si>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</si>
  <si>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</si>
  <si>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</si>
  <si>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</si>
  <si>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</si>
  <si>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</si>
  <si>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</si>
  <si>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</si>
  <si>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</si>
  <si>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</si>
  <si>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</si>
  <si>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</si>
  <si>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</si>
  <si>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</si>
  <si>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</si>
  <si>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</si>
  <si>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</si>
  <si>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</si>
  <si>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</si>
  <si>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</si>
  <si>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</si>
  <si>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</si>
  <si>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</si>
  <si>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</si>
  <si>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</si>
  <si>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</si>
  <si>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</si>
  <si>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</si>
  <si>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</si>
  <si>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</si>
  <si>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</si>
  <si>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</si>
  <si>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</si>
  <si>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</si>
  <si>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</si>
  <si>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</si>
  <si>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</si>
  <si>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</si>
  <si>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</si>
  <si>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</si>
  <si>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</si>
  <si>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</si>
  <si>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</si>
  <si>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</si>
  <si>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</si>
  <si>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</si>
  <si>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</si>
  <si>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</si>
  <si>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</si>
  <si>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</si>
  <si>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</si>
  <si>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</si>
  <si>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</si>
  <si>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</si>
  <si>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</si>
  <si>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</si>
  <si>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</si>
  <si>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</si>
  <si>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</si>
  <si>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</si>
  <si>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</si>
  <si>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</si>
  <si>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</si>
  <si>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</si>
  <si>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</si>
  <si>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</si>
  <si>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</si>
  <si>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</si>
  <si>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</si>
  <si>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</si>
  <si>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</si>
  <si>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</si>
  <si>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</si>
  <si>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</si>
  <si>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</si>
  <si>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</si>
  <si>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</si>
  <si>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</si>
  <si>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</si>
  <si>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</si>
  <si>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</si>
  <si>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</si>
  <si>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</si>
  <si>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</si>
  <si>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</si>
  <si>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</si>
  <si>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</si>
  <si>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</si>
  <si>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</si>
  <si>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</si>
  <si>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</si>
  <si>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</si>
  <si>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</si>
  <si>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</si>
  <si>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</si>
  <si>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</si>
  <si>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</si>
  <si>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</si>
  <si>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</si>
  <si>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</si>
  <si>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</si>
  <si>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</si>
  <si>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</si>
  <si>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</si>
  <si>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</si>
  <si>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</si>
  <si>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</si>
  <si>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</si>
  <si>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</si>
  <si>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</si>
  <si>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</si>
  <si>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</si>
  <si>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</si>
  <si>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</si>
  <si>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</si>
  <si>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</si>
  <si>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</si>
  <si>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</si>
  <si>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</si>
  <si>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</si>
  <si>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</si>
  <si>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</si>
  <si>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</si>
  <si>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</si>
  <si>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</si>
  <si>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</si>
  <si>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</si>
  <si>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</si>
  <si>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</si>
  <si>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</si>
  <si>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</si>
  <si>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</si>
  <si>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</si>
  <si>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</si>
  <si>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</si>
  <si>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</si>
  <si>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</si>
  <si>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</si>
  <si>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</si>
  <si>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</si>
  <si>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</si>
  <si>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</si>
  <si>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</si>
  <si>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</si>
  <si>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</si>
  <si>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</si>
  <si>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</si>
  <si>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</si>
  <si>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</si>
  <si>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</si>
  <si>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</si>
  <si>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</si>
  <si>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</si>
  <si>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</si>
  <si>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</si>
  <si>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</si>
  <si>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</si>
  <si>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</si>
  <si>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</si>
  <si>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</si>
  <si>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</si>
  <si>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</si>
  <si>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</si>
  <si>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</si>
  <si>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</si>
  <si>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</si>
  <si>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</si>
  <si>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</si>
  <si>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</si>
  <si>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</si>
  <si>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</si>
  <si>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</si>
  <si>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</si>
  <si>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</si>
  <si>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</si>
  <si>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</si>
  <si>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</si>
  <si>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</si>
  <si>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</si>
  <si>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</si>
  <si>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</si>
  <si>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</si>
  <si>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</si>
  <si>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</si>
  <si>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</si>
  <si>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</si>
  <si>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</si>
  <si>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</si>
  <si>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</si>
  <si>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</si>
  <si>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</si>
  <si>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</si>
  <si>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</si>
  <si>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</si>
  <si>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</si>
  <si>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</si>
  <si>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</si>
  <si>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</si>
  <si>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</si>
  <si>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</si>
  <si>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</si>
  <si>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</si>
  <si>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</si>
  <si>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</si>
  <si>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</si>
  <si>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</si>
  <si>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</si>
  <si>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</si>
  <si>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</si>
  <si>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</si>
  <si>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</si>
  <si>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</si>
  <si>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</si>
  <si>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</si>
  <si>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</si>
  <si>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</si>
  <si>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</si>
  <si>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</si>
  <si>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</si>
  <si>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</si>
  <si>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</si>
  <si>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</si>
  <si>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</si>
  <si>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</si>
  <si>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</si>
  <si>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</si>
  <si>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</si>
  <si>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</si>
  <si>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</si>
  <si>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</si>
  <si>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</si>
  <si>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</si>
  <si>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</si>
  <si>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</si>
  <si>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</si>
  <si>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</si>
  <si>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</si>
  <si>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</si>
  <si>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</si>
  <si>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</si>
  <si>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</si>
  <si>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</si>
  <si>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</si>
  <si>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</si>
  <si>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</si>
  <si>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</si>
  <si>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</si>
  <si>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</si>
  <si>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</si>
  <si>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</si>
  <si>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</si>
  <si>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</si>
  <si>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</si>
  <si>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</si>
  <si>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</si>
  <si>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</si>
  <si>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</si>
  <si>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</si>
  <si>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</si>
  <si>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</si>
  <si>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</si>
  <si>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</si>
  <si>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</si>
  <si>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</si>
  <si>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</si>
  <si>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</si>
  <si>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</si>
  <si>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</si>
  <si>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</si>
  <si>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</si>
  <si>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</si>
  <si>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</si>
  <si>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</si>
  <si>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</si>
  <si>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</si>
  <si>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</si>
  <si>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</si>
  <si>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</si>
  <si>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</si>
  <si>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</si>
  <si>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</si>
  <si>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</si>
  <si>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</si>
  <si>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</si>
  <si>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</si>
  <si>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</si>
  <si>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</si>
  <si>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</si>
  <si>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</si>
  <si>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</si>
  <si>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</si>
  <si>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</si>
  <si>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</si>
  <si>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</si>
  <si>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</si>
  <si>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</si>
  <si>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</si>
  <si>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</si>
  <si>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</si>
  <si>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</si>
  <si>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</si>
  <si>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</si>
  <si>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</si>
  <si>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</si>
  <si>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</si>
  <si>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</si>
  <si>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</si>
  <si>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</si>
  <si>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</si>
  <si>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</si>
  <si>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</si>
  <si>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</si>
  <si>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</si>
  <si>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</si>
  <si>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</si>
  <si>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</si>
  <si>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</si>
  <si>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</si>
  <si>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</si>
  <si>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</si>
  <si>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</si>
  <si>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</si>
  <si>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</si>
  <si>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</si>
  <si>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</si>
  <si>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</si>
  <si>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</si>
  <si>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</si>
  <si>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</si>
  <si>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</si>
  <si>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</si>
  <si>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</si>
  <si>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</si>
  <si>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</si>
  <si>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</si>
  <si>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</si>
  <si>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</si>
  <si>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</si>
  <si>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</si>
  <si>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</si>
  <si>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</si>
  <si>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</si>
  <si>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</si>
  <si>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</si>
  <si>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</si>
  <si>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</si>
  <si>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</si>
  <si>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</si>
  <si>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</si>
  <si>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</si>
  <si>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</si>
  <si>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</si>
  <si>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</si>
  <si>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</si>
  <si>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</si>
  <si>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</si>
  <si>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</si>
  <si>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</si>
  <si>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</si>
  <si>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</si>
  <si>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</si>
  <si>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</si>
  <si>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</si>
  <si>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</si>
  <si>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</si>
  <si>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</si>
  <si>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</si>
  <si>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</si>
  <si>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</si>
  <si>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</si>
  <si>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</si>
  <si>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</si>
  <si>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</si>
  <si>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</si>
  <si>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</si>
  <si>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</si>
  <si>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</si>
  <si>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</si>
  <si>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</si>
  <si>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</si>
  <si>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</si>
  <si>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</si>
  <si>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</si>
  <si>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</si>
  <si>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</si>
  <si>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</si>
  <si>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</si>
  <si>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</si>
  <si>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</si>
  <si>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</si>
  <si>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</si>
  <si>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</si>
  <si>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</si>
  <si>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</si>
  <si>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</si>
  <si>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</si>
  <si>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</si>
  <si>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</si>
  <si>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</si>
  <si>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</si>
  <si>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</si>
  <si>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</si>
  <si>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</si>
  <si>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</si>
  <si>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</si>
  <si>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</si>
  <si>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</si>
  <si>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</si>
  <si>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</si>
  <si>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</si>
  <si>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</si>
  <si>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</si>
  <si>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</si>
  <si>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</si>
  <si>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</si>
  <si>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</si>
  <si>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</si>
  <si>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</si>
  <si>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</si>
  <si>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</si>
  <si>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</si>
  <si>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</si>
  <si>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</si>
  <si>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</si>
  <si>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</si>
  <si>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</si>
  <si>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</si>
  <si>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</si>
  <si>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</si>
  <si>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</si>
  <si>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</si>
  <si>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</si>
  <si>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</si>
  <si>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</si>
  <si>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</si>
  <si>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</si>
  <si>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</si>
  <si>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</si>
  <si>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</si>
  <si>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</si>
  <si>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</si>
  <si>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</si>
  <si>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</si>
  <si>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</si>
  <si>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</si>
  <si>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</si>
  <si>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</si>
  <si>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</si>
  <si>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</si>
  <si>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</si>
  <si>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</si>
  <si>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</si>
  <si>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</si>
  <si>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</si>
  <si>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</si>
  <si>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</si>
  <si>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</si>
  <si>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</si>
  <si>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</si>
  <si>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</si>
  <si>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</si>
  <si>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</si>
  <si>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</si>
  <si>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</si>
  <si>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</si>
  <si>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</si>
  <si>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</si>
  <si>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</si>
  <si>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</si>
  <si>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</si>
  <si>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</si>
  <si>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</si>
  <si>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</si>
  <si>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</si>
  <si>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</si>
  <si>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</si>
  <si>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</si>
  <si>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</si>
  <si>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</si>
  <si>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</si>
  <si>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</si>
  <si>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</si>
  <si>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</si>
  <si>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</si>
  <si>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</si>
  <si>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</si>
  <si>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</si>
  <si>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</si>
  <si>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</si>
  <si>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</si>
  <si>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</si>
  <si>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</si>
  <si>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</si>
  <si>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</si>
  <si>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</si>
  <si>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</si>
  <si>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</si>
  <si>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</si>
  <si>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</si>
  <si>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</si>
  <si>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</si>
  <si>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</si>
  <si>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</si>
  <si>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</si>
  <si>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</si>
  <si>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</si>
  <si>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</si>
  <si>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</si>
  <si>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</si>
  <si>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</si>
  <si>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</si>
  <si>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</si>
  <si>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</si>
  <si>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</si>
  <si>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</si>
  <si>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</si>
  <si>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</si>
  <si>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</si>
  <si>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</si>
  <si>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</si>
  <si>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</si>
  <si>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</si>
  <si>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</si>
  <si>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</si>
  <si>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</si>
  <si>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</si>
  <si>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</si>
  <si>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</si>
  <si>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</si>
  <si>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</si>
  <si>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</si>
  <si>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</si>
  <si>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</si>
  <si>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</si>
  <si>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</si>
  <si>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</si>
  <si>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</si>
  <si>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</si>
  <si>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</si>
  <si>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</si>
  <si>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</si>
  <si>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</si>
  <si>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</si>
  <si>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</si>
  <si>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Elpakco, Inc.</t>
  </si>
  <si>
    <t>All products.</t>
  </si>
  <si>
    <t>181515891</t>
  </si>
  <si>
    <t>DUNS</t>
  </si>
  <si>
    <t>37 Winter Street, Ashland, NH 03217</t>
  </si>
  <si>
    <t>Shawn Grant</t>
  </si>
  <si>
    <t>shawn@elpakco.com</t>
  </si>
  <si>
    <t>978-392-0400</t>
  </si>
  <si>
    <t>General Manager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</si>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</sst>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38736726-5FB7-487B-B8C0-14F823C531F2}"/>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hawn@elpak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hawn@elpak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8227C2-7211-4508-9F67-56905FC95B8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FB9E2AE-7E1F-4918-B60E-1C1FCB9472F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45155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EDB14F8-6755-4292-9EA9-AEB1DBD6042C}"/>
    <hyperlink ref="D20" r:id="rId4" xr:uid="{2D8DDD4F-5EB3-441B-A3D5-7A39BC10AC4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zoomScaleNormal="100" zoomScalePageLayoutView="55" workbookViewId="0">
      <selection activeCell="A13" sqref="A13:XFD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706</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f ca="1">IF(ISERROR($V5),"",OFFSET('Smelter Look-up'!$G$4,$V5-4,0))</f>
        <v>0</v>
      </c>
      <c r="I5" s="184" t="str">
        <f ca="1">IF(ISERROR($V5),"",OFFSET('Smelter Look-up'!$H$4,$V5-4,0))</f>
        <v>North Attleboro</v>
      </c>
      <c r="J5" s="184" t="str">
        <f ca="1">IF(ISERROR($V5),"",OFFSET('Smelter Look-up'!$I$4,$V5-4,0))</f>
        <v>Massachusetts</v>
      </c>
      <c r="K5" s="224"/>
      <c r="L5" s="224"/>
      <c r="M5" s="224"/>
      <c r="N5" s="224"/>
      <c r="O5" s="224"/>
      <c r="P5" s="185"/>
      <c r="Q5" s="225"/>
      <c r="R5" s="182" t="str">
        <f ca="1">IF(ISERROR($V5),"",OFFSET('Smelter Look-up'!$C$4,$V5-4,0)&amp;"")</f>
        <v>Metalor USA Refining Corporation</v>
      </c>
      <c r="S5" s="181" t="str">
        <f t="shared" ref="S5" ca="1" si="0">IF(B5="","",IF(ISERROR(MATCH($E5,CL,0)),"Unknown",INDIRECT("'C'!$A$"&amp;MATCH($E5,CL,0)+1)))</f>
        <v>US</v>
      </c>
      <c r="T5" s="181" t="str">
        <f ca="1">IF(B5="","",IF(ISERROR(MATCH($J5,SorP!$B$1:$B$6279,0)),"",INDIRECT("'SorP'!$A$"&amp;MATCH($S5&amp;$J5,SorP!C:C,0))))</f>
        <v>US-MA</v>
      </c>
      <c r="U5" s="201"/>
      <c r="V5" s="226">
        <f ca="1">IF(C5="",NA(),IF(OR(C5="Smelter not listed",C5="Smelter not yet identified"),MATCH($B5&amp;$D5,'Smelter Look-up'!$J:$J,0),MATCH($B5&amp;$C5,'Smelter Look-up'!$J:$J,0)))</f>
        <v>176</v>
      </c>
      <c r="X5" s="227">
        <f t="shared" ref="X5" ca="1" si="1">IF(AND(C5="Smelter not listed",OR(LEN(D5)=0,LEN(E5)=0)),1,0)</f>
        <v>0</v>
      </c>
      <c r="AB5" s="228" t="str">
        <f t="shared" ref="AB5" ca="1" si="2">B5&amp;C5</f>
        <v>GoldMetalor USA Refining Corporation</v>
      </c>
    </row>
    <row r="6" spans="1:34" s="227" customFormat="1" ht="19.899999999999999" customHeight="1">
      <c r="A6" s="262" t="s">
        <v>722</v>
      </c>
      <c r="B6" s="182" t="str">
        <f ca="1">IF(LEN(A6)=0,"",INDEX('Smelter Look-up'!$A:$A,MATCH($A6,'Smelter Look-up'!$E:$E,0)))</f>
        <v>Gold</v>
      </c>
      <c r="C6" s="186" t="str">
        <f ca="1">IF(LEN(A6)=0,"",INDEX('Smelter Look-up'!$C:$C,MATCH($A6,'Smelter Look-up'!$E:$E,0)))</f>
        <v>Royal Canadian Mint</v>
      </c>
      <c r="D6" s="230"/>
      <c r="E6" s="182" t="str">
        <f ca="1">IF(ISERROR($V6),"",OFFSET('Smelter Look-up'!$D$4,$V6-4,0)&amp;"")</f>
        <v>CANADA</v>
      </c>
      <c r="F6" s="182" t="str">
        <f ca="1">IF(ISERROR($V6),"",OFFSET('Smelter Look-up'!$E$4,$V6-4,0))</f>
        <v>CID001534</v>
      </c>
      <c r="G6" s="182" t="str">
        <f ca="1">IF(C6=$X$4,IF(ISERROR($V6),"Enter smelter details","RMI"),IF(ISERROR($V6),"",OFFSET('Smelter Look-up'!$F$4,$V6-4,0)))</f>
        <v>RMI</v>
      </c>
      <c r="H6" s="183">
        <f ca="1">IF(ISERROR($V6),"",OFFSET('Smelter Look-up'!$G$4,$V6-4,0))</f>
        <v>0</v>
      </c>
      <c r="I6" s="184" t="str">
        <f ca="1">IF(ISERROR($V6),"",OFFSET('Smelter Look-up'!$H$4,$V6-4,0))</f>
        <v>Ottawa</v>
      </c>
      <c r="J6" s="184" t="str">
        <f ca="1">IF(ISERROR($V6),"",OFFSET('Smelter Look-up'!$I$4,$V6-4,0))</f>
        <v>Ontario</v>
      </c>
      <c r="K6" s="224"/>
      <c r="L6" s="224"/>
      <c r="M6" s="224"/>
      <c r="N6" s="224"/>
      <c r="O6" s="224"/>
      <c r="P6" s="185"/>
      <c r="Q6" s="225"/>
      <c r="R6" s="182" t="str">
        <f ca="1">IF(ISERROR($V6),"",OFFSET('Smelter Look-up'!$C$4,$V6-4,0)&amp;"")</f>
        <v>Royal Canadian Mint</v>
      </c>
      <c r="S6" s="181" t="str">
        <f t="shared" ref="S6:S36" ca="1" si="3">IF(B6="","",IF(ISERROR(MATCH($E6,CL,0)),"Unknown",INDIRECT("'C'!$A$"&amp;MATCH($E6,CL,0)+1)))</f>
        <v>CA</v>
      </c>
      <c r="T6" s="181" t="str">
        <f ca="1">IF(B6="","",IF(ISERROR(MATCH($J6,SorP!$B$1:$B$6279,0)),"",INDIRECT("'SorP'!$A$"&amp;MATCH($S6&amp;$J6,SorP!C:C,0))))</f>
        <v>CA-ON</v>
      </c>
      <c r="U6" s="201"/>
      <c r="V6" s="226">
        <f ca="1">IF(C6="",NA(),IF(OR(C6="Smelter not listed",C6="Smelter not yet identified"),MATCH($B6&amp;$D6,'Smelter Look-up'!$J:$J,0),MATCH($B6&amp;$C6,'Smelter Look-up'!$J:$J,0)))</f>
        <v>220</v>
      </c>
      <c r="X6" s="227">
        <f t="shared" ref="X6:X36" ca="1" si="4">IF(AND(C6="Smelter not listed",OR(LEN(D6)=0,LEN(E6)=0)),1,0)</f>
        <v>0</v>
      </c>
      <c r="AB6" s="228" t="str">
        <f t="shared" ref="AB6:AB36" ca="1" si="5">B6&amp;C6</f>
        <v>GoldRoyal Canadian Mint</v>
      </c>
    </row>
    <row r="7" spans="1:34" s="227" customFormat="1" ht="19.899999999999999" customHeight="1">
      <c r="A7" s="262" t="s">
        <v>772</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3"/>
        <v>BR</v>
      </c>
      <c r="T7" s="181" t="str">
        <f ca="1">IF(B7="","",IF(ISERROR(MATCH($J7,SorP!$B$1:$B$6279,0)),"",INDIRECT("'SorP'!$A$"&amp;MATCH($S7&amp;$J7,SorP!C:C,0))))</f>
        <v>BR-SP</v>
      </c>
      <c r="U7" s="201"/>
      <c r="V7" s="226">
        <f ca="1">IF(C7="",NA(),IF(OR(C7="Smelter not listed",C7="Smelter not yet identified"),MATCH($B7&amp;$D7,'Smelter Look-up'!$J:$J,0),MATCH($B7&amp;$C7,'Smelter Look-up'!$J:$J,0)))</f>
        <v>465</v>
      </c>
      <c r="X7" s="227">
        <f t="shared" ca="1" si="4"/>
        <v>0</v>
      </c>
      <c r="AB7" s="228" t="str">
        <f t="shared" ca="1" si="5"/>
        <v>TinMineracao Taboca S.A.</v>
      </c>
    </row>
    <row r="8" spans="1:34" s="227" customFormat="1" ht="19.899999999999999" customHeight="1">
      <c r="A8" s="262" t="s">
        <v>771</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3"/>
        <v>MY</v>
      </c>
      <c r="T8" s="181" t="str">
        <f ca="1">IF(B8="","",IF(ISERROR(MATCH($J8,SorP!$B$1:$B$6279,0)),"",INDIRECT("'SorP'!$A$"&amp;MATCH($S8&amp;$J8,SorP!C:C,0))))</f>
        <v>MY-07</v>
      </c>
      <c r="U8" s="201"/>
      <c r="V8" s="226">
        <f ca="1">IF(C8="",NA(),IF(OR(C8="Smelter not listed",C8="Smelter not yet identified"),MATCH($B8&amp;$D8,'Smelter Look-up'!$J:$J,0),MATCH($B8&amp;$C8,'Smelter Look-up'!$J:$J,0)))</f>
        <v>458</v>
      </c>
      <c r="X8" s="227">
        <f t="shared" ca="1" si="4"/>
        <v>0</v>
      </c>
      <c r="AB8" s="228" t="str">
        <f t="shared" ca="1" si="5"/>
        <v>TinMalaysia Smelting Corporation (MSC)</v>
      </c>
    </row>
    <row r="9" spans="1:34" s="227" customFormat="1" ht="19.899999999999999" customHeight="1">
      <c r="A9" s="262" t="s">
        <v>784</v>
      </c>
      <c r="B9" s="182" t="str">
        <f ca="1">IF(LEN(A9)=0,"",INDEX('Smelter Look-up'!$A:$A,MATCH($A9,'Smelter Look-up'!$E:$E,0)))</f>
        <v>Tin</v>
      </c>
      <c r="C9" s="186" t="str">
        <f ca="1">IF(LEN(A9)=0,"",INDEX('Smelter Look-up'!$C:$C,MATCH($A9,'Smelter Look-up'!$E:$E,0)))</f>
        <v>Thaisarco</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 ca="1">IF(C9="",NA(),IF(OR(C9="Smelter not listed",C9="Smelter not yet identified"),MATCH($B9&amp;$D9,'Smelter Look-up'!$J:$J,0),MATCH($B9&amp;$C9,'Smelter Look-up'!$J:$J,0)))</f>
        <v>526</v>
      </c>
      <c r="X9" s="227">
        <f t="shared" ca="1" si="4"/>
        <v>0</v>
      </c>
      <c r="AB9" s="228" t="str">
        <f t="shared" ca="1" si="5"/>
        <v>TinThaisarco</v>
      </c>
    </row>
    <row r="10" spans="1:34" s="227" customFormat="1" ht="19.899999999999999" customHeight="1">
      <c r="A10" s="262" t="s">
        <v>800</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3"/>
        <v>ID</v>
      </c>
      <c r="T10" s="181" t="str">
        <f ca="1">IF(B10="","",IF(ISERROR(MATCH($J10,SorP!$B$1:$B$6279,0)),"",INDIRECT("'SorP'!$A$"&amp;MATCH($S10&amp;$J10,SorP!C:C,0))))</f>
        <v>ID-RI</v>
      </c>
      <c r="U10" s="201"/>
      <c r="V10" s="226">
        <f ca="1">IF(C10="",NA(),IF(OR(C10="Smelter not listed",C10="Smelter not yet identified"),MATCH($B10&amp;$D10,'Smelter Look-up'!$J:$J,0),MATCH($B10&amp;$C10,'Smelter Look-up'!$J:$J,0)))</f>
        <v>513</v>
      </c>
      <c r="X10" s="227">
        <f t="shared" ca="1" si="4"/>
        <v>0</v>
      </c>
      <c r="AB10" s="228" t="str">
        <f t="shared" ca="1" si="5"/>
        <v>TinPT Timah Tbk Kundur</v>
      </c>
    </row>
    <row r="11" spans="1:34" s="227" customFormat="1" ht="19.899999999999999" customHeight="1">
      <c r="A11" s="262" t="s">
        <v>781</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3"/>
        <v>ID</v>
      </c>
      <c r="T11" s="181" t="str">
        <f ca="1">IF(B11="","",IF(ISERROR(MATCH($J11,SorP!$B$1:$B$6279,0)),"",INDIRECT("'SorP'!$A$"&amp;MATCH($S11&amp;$J11,SorP!C:C,0))))</f>
        <v>ID-BB</v>
      </c>
      <c r="U11" s="201"/>
      <c r="V11" s="226">
        <f ca="1">IF(C11="",NA(),IF(OR(C11="Smelter not listed",C11="Smelter not yet identified"),MATCH($B11&amp;$D11,'Smelter Look-up'!$J:$J,0),MATCH($B11&amp;$C11,'Smelter Look-up'!$J:$J,0)))</f>
        <v>514</v>
      </c>
      <c r="X11" s="227">
        <f t="shared" ca="1" si="4"/>
        <v>0</v>
      </c>
      <c r="AB11" s="228" t="str">
        <f t="shared" ca="1" si="5"/>
        <v>TinPT Timah Tbk Mentok</v>
      </c>
    </row>
    <row r="12" spans="1:34" s="227" customFormat="1" ht="19.899999999999999" customHeight="1">
      <c r="A12" s="262" t="s">
        <v>1815</v>
      </c>
      <c r="B12" s="182" t="str">
        <f ca="1">IF(LEN(A12)=0,"",INDEX('Smelter Look-up'!$A:$A,MATCH($A12,'Smelter Look-up'!$E:$E,0)))</f>
        <v>Tin</v>
      </c>
      <c r="C12" s="186" t="str">
        <f ca="1">IF(LEN(A12)=0,"",INDEX('Smelter Look-up'!$C:$C,MATCH($A12,'Smelter Look-up'!$E:$E,0)))</f>
        <v>Aurubis Beerse</v>
      </c>
      <c r="D12" s="230"/>
      <c r="E12" s="182" t="str">
        <f ca="1">IF(ISERROR($V12),"",OFFSET('Smelter Look-up'!$D$4,$V12-4,0)&amp;"")</f>
        <v>BELGIUM</v>
      </c>
      <c r="F12" s="182" t="str">
        <f ca="1">IF(ISERROR($V12),"",OFFSET('Smelter Look-up'!$E$4,$V12-4,0))</f>
        <v>CID002773</v>
      </c>
      <c r="G12" s="182" t="str">
        <f ca="1">IF(C12=$X$4,IF(ISERROR($V12),"Enter smelter details","RMI"),IF(ISERROR($V12),"",OFFSET('Smelter Look-up'!$F$4,$V12-4,0)))</f>
        <v>RMI</v>
      </c>
      <c r="H12" s="183">
        <f ca="1">IF(ISERROR($V12),"",OFFSET('Smelter Look-up'!$G$4,$V12-4,0))</f>
        <v>0</v>
      </c>
      <c r="I12" s="184" t="str">
        <f ca="1">IF(ISERROR($V12),"",OFFSET('Smelter Look-up'!$H$4,$V12-4,0))</f>
        <v>Beerse</v>
      </c>
      <c r="J12" s="184" t="str">
        <f ca="1">IF(ISERROR($V12),"",OFFSET('Smelter Look-up'!$I$4,$V12-4,0))</f>
        <v>Antwerpen</v>
      </c>
      <c r="K12" s="224"/>
      <c r="L12" s="224"/>
      <c r="M12" s="224"/>
      <c r="N12" s="224"/>
      <c r="O12" s="224"/>
      <c r="P12" s="185"/>
      <c r="Q12" s="225"/>
      <c r="R12" s="182" t="str">
        <f ca="1">IF(ISERROR($V12),"",OFFSET('Smelter Look-up'!$C$4,$V12-4,0)&amp;"")</f>
        <v>Aurubis Beerse</v>
      </c>
      <c r="S12" s="181" t="str">
        <f t="shared" ca="1" si="3"/>
        <v>BE</v>
      </c>
      <c r="T12" s="181" t="str">
        <f ca="1">IF(B12="","",IF(ISERROR(MATCH($J12,SorP!$B$1:$B$6279,0)),"",INDIRECT("'SorP'!$A$"&amp;MATCH($S12&amp;$J12,SorP!C:C,0))))</f>
        <v>BE-VAN</v>
      </c>
      <c r="U12" s="201"/>
      <c r="V12" s="226">
        <f ca="1">IF(C12="",NA(),IF(OR(C12="Smelter not listed",C12="Smelter not yet identified"),MATCH($B12&amp;$D12,'Smelter Look-up'!$J:$J,0),MATCH($B12&amp;$C12,'Smelter Look-up'!$J:$J,0)))</f>
        <v>394</v>
      </c>
      <c r="X12" s="227">
        <f t="shared" ca="1" si="4"/>
        <v>0</v>
      </c>
      <c r="AB12" s="228" t="str">
        <f t="shared" ca="1" si="5"/>
        <v>TinAurubis Beerse</v>
      </c>
    </row>
    <row r="13" spans="1:34" s="227" customFormat="1" ht="19.899999999999999" customHeight="1">
      <c r="A13" s="262" t="s">
        <v>773</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3"/>
        <v>PE</v>
      </c>
      <c r="T13" s="181" t="str">
        <f ca="1">IF(B13="","",IF(ISERROR(MATCH($J13,SorP!$B$1:$B$6279,0)),"",INDIRECT("'SorP'!$A$"&amp;MATCH($S13&amp;$J13,SorP!C:C,0))))</f>
        <v>PE-ICA</v>
      </c>
      <c r="U13" s="201"/>
      <c r="V13" s="226">
        <f ca="1">IF(C13="",NA(),IF(OR(C13="Smelter not listed",C13="Smelter not yet identified"),MATCH($B13&amp;$D13,'Smelter Look-up'!$J:$J,0),MATCH($B13&amp;$C13,'Smelter Look-up'!$J:$J,0)))</f>
        <v>470</v>
      </c>
      <c r="X13" s="227">
        <f t="shared" ca="1" si="4"/>
        <v>0</v>
      </c>
      <c r="AB13" s="228" t="str">
        <f t="shared" ca="1" si="5"/>
        <v>TinMinsur</v>
      </c>
    </row>
    <row r="14" spans="1:34" s="227" customFormat="1" ht="19.899999999999999" customHeight="1">
      <c r="A14" s="262" t="s">
        <v>13184</v>
      </c>
      <c r="B14" s="182" t="str">
        <f ca="1">IF(LEN(A14)=0,"",INDEX('Smelter Look-up'!$A:$A,MATCH($A14,'Smelter Look-up'!$E:$E,0)))</f>
        <v>Tin</v>
      </c>
      <c r="C14" s="186" t="str">
        <f ca="1">IF(LEN(A14)=0,"",INDEX('Smelter Look-up'!$C:$C,MATCH($A14,'Smelter Look-up'!$E:$E,0)))</f>
        <v>Tin Technology &amp; Refining</v>
      </c>
      <c r="D14" s="230"/>
      <c r="E14" s="182" t="str">
        <f ca="1">IF(ISERROR($V14),"",OFFSET('Smelter Look-up'!$D$4,$V14-4,0)&amp;"")</f>
        <v>UNITED STATES OF AMERICA</v>
      </c>
      <c r="F14" s="182" t="str">
        <f ca="1">IF(ISERROR($V14),"",OFFSET('Smelter Look-up'!$E$4,$V14-4,0))</f>
        <v>CID003325</v>
      </c>
      <c r="G14" s="182" t="str">
        <f ca="1">IF(C14=$X$4,IF(ISERROR($V14),"Enter smelter details","RMI"),IF(ISERROR($V14),"",OFFSET('Smelter Look-up'!$F$4,$V14-4,0)))</f>
        <v>RMI</v>
      </c>
      <c r="H14" s="183">
        <f ca="1">IF(ISERROR($V14),"",OFFSET('Smelter Look-up'!$G$4,$V14-4,0))</f>
        <v>0</v>
      </c>
      <c r="I14" s="184" t="str">
        <f ca="1">IF(ISERROR($V14),"",OFFSET('Smelter Look-up'!$H$4,$V14-4,0))</f>
        <v>West Chester</v>
      </c>
      <c r="J14" s="184" t="str">
        <f ca="1">IF(ISERROR($V14),"",OFFSET('Smelter Look-up'!$I$4,$V14-4,0))</f>
        <v>Pennsylvania</v>
      </c>
      <c r="K14" s="224"/>
      <c r="L14" s="224"/>
      <c r="M14" s="224"/>
      <c r="N14" s="224"/>
      <c r="O14" s="224"/>
      <c r="P14" s="185"/>
      <c r="Q14" s="225"/>
      <c r="R14" s="182" t="str">
        <f ca="1">IF(ISERROR($V14),"",OFFSET('Smelter Look-up'!$C$4,$V14-4,0)&amp;"")</f>
        <v>Tin Technology &amp; Refining</v>
      </c>
      <c r="S14" s="181" t="str">
        <f t="shared" ca="1" si="3"/>
        <v>US</v>
      </c>
      <c r="T14" s="181" t="str">
        <f ca="1">IF(B14="","",IF(ISERROR(MATCH($J14,SorP!$B$1:$B$6279,0)),"",INDIRECT("'SorP'!$A$"&amp;MATCH($S14&amp;$J14,SorP!C:C,0))))</f>
        <v>US-PA</v>
      </c>
      <c r="U14" s="201"/>
      <c r="V14" s="226">
        <f ca="1">IF(C14="",NA(),IF(OR(C14="Smelter not listed",C14="Smelter not yet identified"),MATCH($B14&amp;$D14,'Smelter Look-up'!$J:$J,0),MATCH($B14&amp;$C14,'Smelter Look-up'!$J:$J,0)))</f>
        <v>530</v>
      </c>
      <c r="X14" s="227">
        <f t="shared" ca="1" si="4"/>
        <v>0</v>
      </c>
      <c r="AB14" s="228" t="str">
        <f t="shared" ca="1" si="5"/>
        <v>TinTin Technology &amp; Refining</v>
      </c>
    </row>
    <row r="15" spans="1:34" s="227" customFormat="1" ht="19.899999999999999" customHeight="1">
      <c r="A15" s="262" t="s">
        <v>780</v>
      </c>
      <c r="B15" s="182" t="str">
        <f ca="1">IF(LEN(A15)=0,"",INDEX('Smelter Look-up'!$A:$A,MATCH($A15,'Smelter Look-up'!$E:$E,0)))</f>
        <v>Tin</v>
      </c>
      <c r="C15" s="186" t="str">
        <f ca="1">IF(LEN(A15)=0,"",INDEX('Smelter Look-up'!$C:$C,MATCH($A15,'Smelter Look-up'!$E:$E,0)))</f>
        <v>PT Refined Bangka Tin</v>
      </c>
      <c r="D15" s="230"/>
      <c r="E15" s="182" t="str">
        <f ca="1">IF(ISERROR($V15),"",OFFSET('Smelter Look-up'!$D$4,$V15-4,0)&amp;"")</f>
        <v>INDONESIA</v>
      </c>
      <c r="F15" s="182" t="str">
        <f ca="1">IF(ISERROR($V15),"",OFFSET('Smelter Look-up'!$E$4,$V15-4,0))</f>
        <v>CID001460</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Refined Bangka Tin</v>
      </c>
      <c r="S15" s="181" t="str">
        <f t="shared" ca="1" si="3"/>
        <v>ID</v>
      </c>
      <c r="T15" s="181" t="str">
        <f ca="1">IF(B15="","",IF(ISERROR(MATCH($J15,SorP!$B$1:$B$6279,0)),"",INDIRECT("'SorP'!$A$"&amp;MATCH($S15&amp;$J15,SorP!C:C,0))))</f>
        <v>ID-BB</v>
      </c>
      <c r="U15" s="201"/>
      <c r="V15" s="226">
        <f ca="1">IF(C15="",NA(),IF(OR(C15="Smelter not listed",C15="Smelter not yet identified"),MATCH($B15&amp;$D15,'Smelter Look-up'!$J:$J,0),MATCH($B15&amp;$C15,'Smelter Look-up'!$J:$J,0)))</f>
        <v>507</v>
      </c>
      <c r="X15" s="227">
        <f t="shared" ca="1" si="4"/>
        <v>0</v>
      </c>
      <c r="AB15" s="228" t="str">
        <f t="shared" ca="1" si="5"/>
        <v>TinPT Refined Bangka Tin</v>
      </c>
    </row>
    <row r="16" spans="1:34" s="227" customFormat="1" ht="19.899999999999999" customHeight="1">
      <c r="A16" s="262" t="s">
        <v>705</v>
      </c>
      <c r="B16" s="182" t="str">
        <f ca="1">IF(LEN(A16)=0,"",INDEX('Smelter Look-up'!$A:$A,MATCH($A16,'Smelter Look-up'!$E:$E,0)))</f>
        <v>Gold</v>
      </c>
      <c r="C16" s="186" t="s">
        <v>1162</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c r="R16" s="182" t="str">
        <f ca="1">IF(ISERROR($V16),"",OFFSET('Smelter Look-up'!$C$4,$V16-4,0)&amp;"")</f>
        <v>Metalor Technologies S.A.</v>
      </c>
      <c r="S16" s="181" t="str">
        <f t="shared" ca="1" si="3"/>
        <v>CH</v>
      </c>
      <c r="T16" s="181" t="str">
        <f ca="1">IF(B16="","",IF(ISERROR(MATCH($J16,SorP!$B$1:$B$6279,0)),"",INDIRECT("'SorP'!$A$"&amp;MATCH($S16&amp;$J16,SorP!C:C,0))))</f>
        <v>CH-NE</v>
      </c>
      <c r="U16" s="201"/>
      <c r="V16" s="226">
        <f ca="1">IF(C16="",NA(),IF(OR(C16="Smelter not listed",C16="Smelter not yet identified"),MATCH($B16&amp;$D16,'Smelter Look-up'!$J:$J,0),MATCH($B16&amp;$C16,'Smelter Look-up'!$J:$J,0)))</f>
        <v>171</v>
      </c>
      <c r="X16" s="227">
        <f t="shared" ca="1" si="4"/>
        <v>0</v>
      </c>
      <c r="AB16" s="228" t="str">
        <f t="shared" ca="1" si="5"/>
        <v>GoldMetalor Switzerland</v>
      </c>
    </row>
    <row r="17" spans="1:28" s="227" customFormat="1" ht="19.899999999999999" customHeight="1">
      <c r="A17" s="181" t="s">
        <v>764</v>
      </c>
      <c r="B17" s="182" t="str">
        <f ca="1">IF(LEN(A17)=0,"",INDEX('Smelter Look-up'!$A:$A,MATCH($A17,'Smelter Look-up'!$E:$E,0)))</f>
        <v>Tin</v>
      </c>
      <c r="C17" s="186" t="str">
        <f ca="1">IF(LEN(A17)=0,"",INDEX('Smelter Look-up'!$C:$C,MATCH($A17,'Smelter Look-up'!$E:$E,0)))</f>
        <v>EM Vinto</v>
      </c>
      <c r="D17" s="230"/>
      <c r="E17" s="182" t="str">
        <f ca="1">IF(ISERROR($V17),"",OFFSET('Smelter Look-up'!$D$4,$V17-4,0)&amp;"")</f>
        <v>BOLIVIA (PLURINATIONAL STATE OF)</v>
      </c>
      <c r="F17" s="182" t="str">
        <f ca="1">IF(ISERROR($V17),"",OFFSET('Smelter Look-up'!$E$4,$V17-4,0))</f>
        <v>CID000438</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EM Vinto</v>
      </c>
      <c r="S17" s="181" t="str">
        <f t="shared" ca="1" si="3"/>
        <v>BO</v>
      </c>
      <c r="T17" s="181" t="str">
        <f ca="1">IF(B17="","",IF(ISERROR(MATCH($J17,SorP!$B$1:$B$6279,0)),"",INDIRECT("'SorP'!$A$"&amp;MATCH($S17&amp;$J17,SorP!C:C,0))))</f>
        <v>BO-O</v>
      </c>
      <c r="U17" s="201"/>
      <c r="V17" s="226">
        <f ca="1">IF(C17="",NA(),IF(OR(C17="Smelter not listed",C17="Smelter not yet identified"),MATCH($B17&amp;$D17,'Smelter Look-up'!$J:$J,0),MATCH($B17&amp;$C17,'Smelter Look-up'!$J:$J,0)))</f>
        <v>421</v>
      </c>
      <c r="X17" s="227">
        <f t="shared" ca="1" si="4"/>
        <v>0</v>
      </c>
      <c r="AB17" s="228" t="str">
        <f t="shared" ca="1" si="5"/>
        <v>TinEM Vinto</v>
      </c>
    </row>
    <row r="18" spans="1:28" s="227" customFormat="1" ht="89.25">
      <c r="A18" s="181" t="s">
        <v>703</v>
      </c>
      <c r="B18" s="182" t="str">
        <f ca="1">IF(LEN(A18)=0,"",INDEX('Smelter Look-up'!$A:$A,MATCH($A18,'Smelter Look-up'!$E:$E,0)))</f>
        <v>Gold</v>
      </c>
      <c r="C18" s="186" t="str">
        <f ca="1">IF(LEN(A18)=0,"",INDEX('Smelter Look-up'!$C:$C,MATCH($A18,'Smelter Look-up'!$E:$E,0)))</f>
        <v>Metalor Technologies (Hong Kong) Ltd.</v>
      </c>
      <c r="D18" s="230"/>
      <c r="E18" s="182" t="str">
        <f ca="1">IF(ISERROR($V18),"",OFFSET('Smelter Look-up'!$D$4,$V18-4,0)&amp;"")</f>
        <v>CHINA</v>
      </c>
      <c r="F18" s="182" t="str">
        <f ca="1">IF(ISERROR($V18),"",OFFSET('Smelter Look-up'!$E$4,$V18-4,0))</f>
        <v>CID001149</v>
      </c>
      <c r="G18" s="182" t="str">
        <f ca="1">IF(C18=$X$4,IF(ISERROR($V18),"Enter smelter details","RMI"),IF(ISERROR($V18),"",OFFSET('Smelter Look-up'!$F$4,$V18-4,0)))</f>
        <v>RMI</v>
      </c>
      <c r="H18" s="183">
        <f ca="1">IF(ISERROR($V18),"",OFFSET('Smelter Look-up'!$G$4,$V18-4,0))</f>
        <v>0</v>
      </c>
      <c r="I18" s="184" t="str">
        <f ca="1">IF(ISERROR($V18),"",OFFSET('Smelter Look-up'!$H$4,$V18-4,0))</f>
        <v>Kwai Chung</v>
      </c>
      <c r="J18" s="184" t="str">
        <f ca="1">IF(ISERROR($V18),"",OFFSET('Smelter Look-up'!$I$4,$V18-4,0))</f>
        <v>Hong Kong SAR (see also separate country code entry under HK)</v>
      </c>
      <c r="K18" s="224"/>
      <c r="L18" s="224"/>
      <c r="M18" s="224"/>
      <c r="N18" s="224"/>
      <c r="O18" s="224"/>
      <c r="P18" s="185"/>
      <c r="Q18" s="225"/>
      <c r="R18" s="182" t="str">
        <f ca="1">IF(ISERROR($V18),"",OFFSET('Smelter Look-up'!$C$4,$V18-4,0)&amp;"")</f>
        <v>Metalor Technologies (Hong Kong) Ltd.</v>
      </c>
      <c r="S18" s="181" t="str">
        <f t="shared" ca="1" si="3"/>
        <v>CN</v>
      </c>
      <c r="T18" s="181" t="str">
        <f ca="1">IF(B18="","",IF(ISERROR(MATCH($J18,SorP!$B$1:$B$6279,0)),"",INDIRECT("'SorP'!$A$"&amp;MATCH($S18&amp;$J18,SorP!C:C,0))))</f>
        <v>CN-HK</v>
      </c>
      <c r="U18" s="201"/>
      <c r="V18" s="226">
        <f ca="1">IF(C18="",NA(),IF(OR(C18="Smelter not listed",C18="Smelter not yet identified"),MATCH($B18&amp;$D18,'Smelter Look-up'!$J:$J,0),MATCH($B18&amp;$C18,'Smelter Look-up'!$J:$J,0)))</f>
        <v>172</v>
      </c>
      <c r="X18" s="227">
        <f t="shared" ca="1" si="4"/>
        <v>0</v>
      </c>
      <c r="AB18" s="228" t="str">
        <f t="shared" ca="1" si="5"/>
        <v>GoldMetalor Technologies (Hong Kong) Ltd.</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23B81D7-A689-462B-9584-4784DC11708B}"/>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Elpakco,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Shawn Grant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shawn@elpakco.com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978-392-0400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Shawn Grant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shawn@elpakco.com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45155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Shawn Grant</cp:lastModifiedBy>
  <cp:lastPrinted>2015-04-21T20:47:43Z</cp:lastPrinted>
  <dcterms:created xsi:type="dcterms:W3CDTF">2010-06-21T21:00:23Z</dcterms:created>
  <dcterms:modified xsi:type="dcterms:W3CDTF">2023-10-16T14:00:29Z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